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hrk\Desktop\"/>
    </mc:Choice>
  </mc:AlternateContent>
  <bookViews>
    <workbookView xWindow="0" yWindow="0" windowWidth="28800" windowHeight="12435" activeTab="1"/>
  </bookViews>
  <sheets>
    <sheet name="Attributenberechnung" sheetId="7" r:id="rId1"/>
    <sheet name="Übersicht" sheetId="4" r:id="rId2"/>
    <sheet name="Beeinflussung" sheetId="6" r:id="rId3"/>
    <sheet name="Beschreibung Attribute" sheetId="5" r:id="rId4"/>
    <sheet name="Charakterere (einfach Ignorier)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7" l="1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A18" i="7"/>
  <c r="AA19" i="7"/>
  <c r="AA17" i="7"/>
  <c r="AA21" i="7" s="1"/>
  <c r="Z18" i="7"/>
  <c r="Z19" i="7"/>
  <c r="Z17" i="7"/>
  <c r="Z21" i="7" s="1"/>
  <c r="Y18" i="7"/>
  <c r="Y19" i="7"/>
  <c r="Y17" i="7"/>
  <c r="Y21" i="7" s="1"/>
  <c r="X18" i="7"/>
  <c r="X19" i="7"/>
  <c r="X17" i="7"/>
  <c r="X21" i="7" s="1"/>
  <c r="W18" i="7"/>
  <c r="W19" i="7"/>
  <c r="W17" i="7"/>
  <c r="W21" i="7" s="1"/>
  <c r="V18" i="7"/>
  <c r="V19" i="7"/>
  <c r="V17" i="7"/>
  <c r="V21" i="7" s="1"/>
  <c r="U18" i="7"/>
  <c r="U19" i="7"/>
  <c r="U17" i="7"/>
  <c r="U21" i="7" s="1"/>
  <c r="T18" i="7"/>
  <c r="T19" i="7"/>
  <c r="T17" i="7"/>
  <c r="T21" i="7" s="1"/>
  <c r="S18" i="7"/>
  <c r="S19" i="7"/>
  <c r="S17" i="7"/>
  <c r="S21" i="7" s="1"/>
  <c r="R18" i="7"/>
  <c r="R19" i="7"/>
  <c r="R17" i="7"/>
  <c r="R21" i="7" s="1"/>
  <c r="Q18" i="7"/>
  <c r="Q19" i="7"/>
  <c r="Q17" i="7"/>
  <c r="Q21" i="7" s="1"/>
  <c r="P18" i="7"/>
  <c r="P19" i="7"/>
  <c r="P17" i="7"/>
  <c r="P21" i="7" s="1"/>
  <c r="O18" i="7"/>
  <c r="O19" i="7"/>
  <c r="O17" i="7"/>
  <c r="O21" i="7" s="1"/>
  <c r="N18" i="7"/>
  <c r="N19" i="7"/>
  <c r="N17" i="7"/>
  <c r="N21" i="7" s="1"/>
  <c r="M18" i="7"/>
  <c r="M19" i="7"/>
  <c r="M17" i="7"/>
  <c r="M21" i="7" s="1"/>
  <c r="L18" i="7"/>
  <c r="L19" i="7"/>
  <c r="L17" i="7"/>
  <c r="L21" i="7" s="1"/>
  <c r="K18" i="7"/>
  <c r="K19" i="7"/>
  <c r="K17" i="7"/>
  <c r="K21" i="7" s="1"/>
  <c r="J18" i="7"/>
  <c r="J19" i="7"/>
  <c r="J17" i="7"/>
  <c r="J21" i="7" s="1"/>
  <c r="I18" i="7"/>
  <c r="I19" i="7"/>
  <c r="I17" i="7"/>
  <c r="I21" i="7" s="1"/>
  <c r="H18" i="7"/>
  <c r="H19" i="7"/>
  <c r="H17" i="7"/>
  <c r="H21" i="7" s="1"/>
  <c r="G18" i="7"/>
  <c r="G19" i="7"/>
  <c r="G17" i="7"/>
  <c r="G21" i="7" s="1"/>
  <c r="F18" i="7"/>
  <c r="F19" i="7"/>
  <c r="F17" i="7"/>
  <c r="F21" i="7" s="1"/>
  <c r="E18" i="7"/>
  <c r="E19" i="7"/>
  <c r="E17" i="7"/>
  <c r="E21" i="7" s="1"/>
  <c r="D18" i="7"/>
  <c r="D19" i="7"/>
  <c r="D17" i="7"/>
  <c r="D21" i="7" s="1"/>
  <c r="C18" i="7"/>
  <c r="C19" i="7"/>
  <c r="C17" i="7"/>
  <c r="C21" i="7" s="1"/>
  <c r="AA111" i="6"/>
  <c r="AA110" i="6"/>
  <c r="AA121" i="6"/>
  <c r="AA120" i="6"/>
  <c r="AA119" i="6"/>
  <c r="AA116" i="6"/>
  <c r="AA117" i="6"/>
  <c r="AA118" i="6"/>
  <c r="AA115" i="6"/>
  <c r="AA114" i="6"/>
  <c r="AA103" i="6"/>
  <c r="AA104" i="6"/>
  <c r="AA113" i="6" l="1"/>
  <c r="AA112" i="6"/>
  <c r="D2" i="7"/>
  <c r="B6" i="7"/>
  <c r="B11" i="7" s="1"/>
  <c r="B22" i="7" s="1"/>
  <c r="C7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A12" i="7"/>
  <c r="AA15" i="7" s="1"/>
  <c r="Z12" i="7"/>
  <c r="Z15" i="7" s="1"/>
  <c r="Y12" i="7"/>
  <c r="Y15" i="7" s="1"/>
  <c r="X12" i="7"/>
  <c r="X15" i="7" s="1"/>
  <c r="W12" i="7"/>
  <c r="W15" i="7" s="1"/>
  <c r="V12" i="7"/>
  <c r="V15" i="7" s="1"/>
  <c r="U12" i="7"/>
  <c r="U15" i="7" s="1"/>
  <c r="T12" i="7"/>
  <c r="T15" i="7" s="1"/>
  <c r="S12" i="7"/>
  <c r="S15" i="7" s="1"/>
  <c r="R12" i="7"/>
  <c r="R15" i="7" s="1"/>
  <c r="Q12" i="7"/>
  <c r="Q15" i="7" s="1"/>
  <c r="P12" i="7"/>
  <c r="P15" i="7" s="1"/>
  <c r="O12" i="7"/>
  <c r="O15" i="7" s="1"/>
  <c r="N12" i="7"/>
  <c r="N15" i="7" s="1"/>
  <c r="M12" i="7"/>
  <c r="M15" i="7" s="1"/>
  <c r="L12" i="7"/>
  <c r="L15" i="7" s="1"/>
  <c r="K12" i="7"/>
  <c r="K15" i="7" s="1"/>
  <c r="J12" i="7"/>
  <c r="J15" i="7" s="1"/>
  <c r="I12" i="7"/>
  <c r="I15" i="7" s="1"/>
  <c r="H12" i="7"/>
  <c r="H15" i="7" s="1"/>
  <c r="G12" i="7"/>
  <c r="G15" i="7" s="1"/>
  <c r="F12" i="7"/>
  <c r="F15" i="7" s="1"/>
  <c r="E12" i="7"/>
  <c r="E15" i="7" s="1"/>
  <c r="D12" i="7"/>
  <c r="D15" i="7" s="1"/>
  <c r="C13" i="7"/>
  <c r="C14" i="7"/>
  <c r="C12" i="7"/>
  <c r="C15" i="7" s="1"/>
  <c r="AA2" i="7"/>
  <c r="Z2" i="7"/>
  <c r="Y2" i="7"/>
  <c r="X2" i="7"/>
  <c r="W2" i="7"/>
  <c r="V2" i="7"/>
  <c r="U2" i="7"/>
  <c r="T2" i="7"/>
  <c r="S2" i="7"/>
  <c r="R2" i="7"/>
  <c r="Q2" i="7"/>
  <c r="P2" i="7"/>
  <c r="O2" i="7"/>
  <c r="N2" i="7"/>
  <c r="M2" i="7"/>
  <c r="L2" i="7"/>
  <c r="K2" i="7"/>
  <c r="C3" i="7"/>
  <c r="J2" i="7"/>
  <c r="I2" i="7"/>
  <c r="H2" i="7"/>
  <c r="G2" i="7"/>
  <c r="F2" i="7"/>
  <c r="E2" i="7"/>
  <c r="C2" i="7"/>
  <c r="AA4" i="6"/>
  <c r="AA85" i="6"/>
  <c r="AA92" i="6"/>
  <c r="AA91" i="6"/>
  <c r="AA86" i="6"/>
  <c r="AA87" i="6"/>
  <c r="AA84" i="6"/>
  <c r="AA83" i="6"/>
  <c r="AA102" i="6"/>
  <c r="AA101" i="6"/>
  <c r="AA88" i="6"/>
  <c r="AA95" i="6"/>
  <c r="AA90" i="6"/>
  <c r="AA89" i="6"/>
  <c r="AA98" i="6"/>
  <c r="AA97" i="6"/>
  <c r="AA107" i="6"/>
  <c r="AA96" i="6"/>
  <c r="AA108" i="6"/>
  <c r="AA109" i="6"/>
  <c r="AA106" i="6"/>
  <c r="AA105" i="6"/>
  <c r="AA100" i="6"/>
  <c r="AA99" i="6"/>
  <c r="AA79" i="6"/>
  <c r="AA94" i="6"/>
  <c r="AA93" i="6"/>
  <c r="AA70" i="6"/>
  <c r="AA69" i="6"/>
  <c r="AA80" i="6"/>
  <c r="AA44" i="6"/>
  <c r="AA49" i="6"/>
  <c r="AA74" i="6"/>
  <c r="AA73" i="6"/>
  <c r="AA78" i="6"/>
  <c r="AA77" i="6"/>
  <c r="AA65" i="6"/>
  <c r="AA72" i="6"/>
  <c r="AA71" i="6"/>
  <c r="AA64" i="6"/>
  <c r="AA63" i="6"/>
  <c r="AA50" i="6"/>
  <c r="AA76" i="6"/>
  <c r="AA45" i="6"/>
  <c r="AA53" i="6"/>
  <c r="AA54" i="6"/>
  <c r="AA66" i="6"/>
  <c r="AA48" i="6"/>
  <c r="AA47" i="6"/>
  <c r="AA62" i="6"/>
  <c r="AA61" i="6"/>
  <c r="AA55" i="6"/>
  <c r="AA56" i="6"/>
  <c r="AA75" i="6"/>
  <c r="AA46" i="6"/>
  <c r="AA58" i="6"/>
  <c r="AA57" i="6"/>
  <c r="AA52" i="6"/>
  <c r="AA51" i="6"/>
  <c r="AA82" i="6"/>
  <c r="AA81" i="6"/>
  <c r="AA60" i="6"/>
  <c r="AA59" i="6"/>
  <c r="AA67" i="6"/>
  <c r="AA68" i="6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AA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36" i="6"/>
  <c r="AA37" i="6"/>
  <c r="AA38" i="6"/>
  <c r="AA39" i="6"/>
  <c r="AA40" i="6"/>
  <c r="AA41" i="6"/>
  <c r="AA42" i="6"/>
  <c r="AA43" i="6"/>
  <c r="B27" i="7" l="1"/>
  <c r="B25" i="7"/>
  <c r="B24" i="7"/>
  <c r="B26" i="7"/>
  <c r="B23" i="7"/>
  <c r="C4" i="7"/>
  <c r="C5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D3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D8" i="7"/>
  <c r="C8" i="7"/>
  <c r="C10" i="7" s="1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AA5" i="6"/>
  <c r="AA6" i="6"/>
  <c r="AA7" i="6"/>
  <c r="AA8" i="6"/>
  <c r="AA9" i="6"/>
  <c r="AA10" i="6"/>
  <c r="AA11" i="6"/>
  <c r="AA12" i="6"/>
  <c r="AA13" i="6"/>
  <c r="AA2" i="6"/>
  <c r="G10" i="7" l="1"/>
  <c r="K10" i="7"/>
  <c r="O10" i="7"/>
  <c r="S10" i="7"/>
  <c r="W10" i="7"/>
  <c r="AA10" i="7"/>
  <c r="F10" i="7"/>
  <c r="J10" i="7"/>
  <c r="N10" i="7"/>
  <c r="R10" i="7"/>
  <c r="V10" i="7"/>
  <c r="Z10" i="7"/>
  <c r="D10" i="7"/>
  <c r="H10" i="7"/>
  <c r="L10" i="7"/>
  <c r="P10" i="7"/>
  <c r="T10" i="7"/>
  <c r="X10" i="7"/>
  <c r="E10" i="7"/>
  <c r="I10" i="7"/>
  <c r="M10" i="7"/>
  <c r="Q10" i="7"/>
  <c r="U10" i="7"/>
  <c r="Y10" i="7"/>
  <c r="C6" i="7"/>
  <c r="C11" i="7" s="1"/>
  <c r="R4" i="7"/>
  <c r="R5" i="7"/>
  <c r="K4" i="7"/>
  <c r="K5" i="7"/>
  <c r="O4" i="7"/>
  <c r="O5" i="7"/>
  <c r="S4" i="7"/>
  <c r="S5" i="7"/>
  <c r="AA4" i="7"/>
  <c r="AA5" i="7"/>
  <c r="D5" i="7"/>
  <c r="D4" i="7"/>
  <c r="H5" i="7"/>
  <c r="H4" i="7"/>
  <c r="L5" i="7"/>
  <c r="L4" i="7"/>
  <c r="P5" i="7"/>
  <c r="P4" i="7"/>
  <c r="T5" i="7"/>
  <c r="T4" i="7"/>
  <c r="X5" i="7"/>
  <c r="X4" i="7"/>
  <c r="F4" i="7"/>
  <c r="F5" i="7"/>
  <c r="J5" i="7"/>
  <c r="J4" i="7"/>
  <c r="N5" i="7"/>
  <c r="N4" i="7"/>
  <c r="V5" i="7"/>
  <c r="V4" i="7"/>
  <c r="Z5" i="7"/>
  <c r="Z4" i="7"/>
  <c r="G4" i="7"/>
  <c r="G5" i="7"/>
  <c r="W4" i="7"/>
  <c r="W5" i="7"/>
  <c r="E5" i="7"/>
  <c r="E4" i="7"/>
  <c r="I4" i="7"/>
  <c r="I5" i="7"/>
  <c r="M5" i="7"/>
  <c r="M4" i="7"/>
  <c r="Q4" i="7"/>
  <c r="Q5" i="7"/>
  <c r="U5" i="7"/>
  <c r="U4" i="7"/>
  <c r="Y4" i="7"/>
  <c r="Y5" i="7"/>
  <c r="C16" i="7" l="1"/>
  <c r="C22" i="7" s="1"/>
  <c r="Y6" i="7"/>
  <c r="W6" i="7"/>
  <c r="Z6" i="7"/>
  <c r="K6" i="7"/>
  <c r="G6" i="7"/>
  <c r="G11" i="7" s="1"/>
  <c r="P6" i="7"/>
  <c r="AA6" i="7"/>
  <c r="R6" i="7"/>
  <c r="E6" i="7"/>
  <c r="E11" i="7" s="1"/>
  <c r="V6" i="7"/>
  <c r="X6" i="7"/>
  <c r="H6" i="7"/>
  <c r="I6" i="7"/>
  <c r="F6" i="7"/>
  <c r="F11" i="7" s="1"/>
  <c r="S6" i="7"/>
  <c r="L6" i="7"/>
  <c r="J6" i="7"/>
  <c r="U6" i="7"/>
  <c r="Q6" i="7"/>
  <c r="M6" i="7"/>
  <c r="N6" i="7"/>
  <c r="T6" i="7"/>
  <c r="D6" i="7"/>
  <c r="D11" i="7" s="1"/>
  <c r="O6" i="7"/>
  <c r="C26" i="7" l="1"/>
  <c r="C27" i="7"/>
  <c r="C23" i="7"/>
  <c r="C24" i="7"/>
  <c r="C25" i="7"/>
  <c r="N11" i="7"/>
  <c r="N26" i="7"/>
  <c r="N24" i="7"/>
  <c r="N25" i="7"/>
  <c r="N23" i="7"/>
  <c r="N27" i="7"/>
  <c r="I11" i="7"/>
  <c r="I24" i="7"/>
  <c r="I23" i="7"/>
  <c r="I27" i="7"/>
  <c r="I25" i="7"/>
  <c r="I26" i="7"/>
  <c r="G16" i="7"/>
  <c r="G22" i="7" s="1"/>
  <c r="O11" i="7"/>
  <c r="O27" i="7"/>
  <c r="O25" i="7"/>
  <c r="O26" i="7"/>
  <c r="O24" i="7"/>
  <c r="O23" i="7"/>
  <c r="L11" i="7"/>
  <c r="L24" i="7"/>
  <c r="L23" i="7"/>
  <c r="L27" i="7"/>
  <c r="L25" i="7"/>
  <c r="L26" i="7"/>
  <c r="R11" i="7"/>
  <c r="R26" i="7"/>
  <c r="R27" i="7"/>
  <c r="R23" i="7"/>
  <c r="R25" i="7"/>
  <c r="R24" i="7"/>
  <c r="D16" i="7"/>
  <c r="D22" i="7" s="1"/>
  <c r="T11" i="7"/>
  <c r="T24" i="7"/>
  <c r="T23" i="7"/>
  <c r="T27" i="7"/>
  <c r="T25" i="7"/>
  <c r="T26" i="7"/>
  <c r="U11" i="7"/>
  <c r="U24" i="7"/>
  <c r="U23" i="7"/>
  <c r="U27" i="7"/>
  <c r="U25" i="7"/>
  <c r="U26" i="7"/>
  <c r="F16" i="7"/>
  <c r="F22" i="7" s="1"/>
  <c r="V11" i="7"/>
  <c r="V26" i="7"/>
  <c r="V24" i="7"/>
  <c r="V27" i="7"/>
  <c r="V23" i="7"/>
  <c r="V25" i="7"/>
  <c r="P11" i="7"/>
  <c r="P24" i="7"/>
  <c r="P23" i="7"/>
  <c r="P27" i="7"/>
  <c r="P25" i="7"/>
  <c r="P26" i="7"/>
  <c r="W11" i="7"/>
  <c r="W27" i="7"/>
  <c r="W25" i="7"/>
  <c r="W26" i="7"/>
  <c r="W24" i="7"/>
  <c r="W23" i="7"/>
  <c r="J11" i="7"/>
  <c r="J26" i="7"/>
  <c r="J24" i="7"/>
  <c r="J25" i="7"/>
  <c r="J23" i="7"/>
  <c r="J27" i="7"/>
  <c r="E16" i="7"/>
  <c r="E22" i="7" s="1"/>
  <c r="Y11" i="7"/>
  <c r="Y24" i="7"/>
  <c r="Y23" i="7"/>
  <c r="Y27" i="7"/>
  <c r="Y25" i="7"/>
  <c r="Y26" i="7"/>
  <c r="M11" i="7"/>
  <c r="M24" i="7"/>
  <c r="M23" i="7"/>
  <c r="M27" i="7"/>
  <c r="M25" i="7"/>
  <c r="M26" i="7"/>
  <c r="H25" i="7"/>
  <c r="H24" i="7"/>
  <c r="H23" i="7"/>
  <c r="H27" i="7"/>
  <c r="H26" i="7"/>
  <c r="K11" i="7"/>
  <c r="K27" i="7"/>
  <c r="K25" i="7"/>
  <c r="K26" i="7"/>
  <c r="K23" i="7"/>
  <c r="K24" i="7"/>
  <c r="Q11" i="7"/>
  <c r="Q24" i="7"/>
  <c r="Q23" i="7"/>
  <c r="Q27" i="7"/>
  <c r="Q25" i="7"/>
  <c r="Q26" i="7"/>
  <c r="S11" i="7"/>
  <c r="S27" i="7"/>
  <c r="S25" i="7"/>
  <c r="S26" i="7"/>
  <c r="S23" i="7"/>
  <c r="S24" i="7"/>
  <c r="X11" i="7"/>
  <c r="X24" i="7"/>
  <c r="X23" i="7"/>
  <c r="X27" i="7"/>
  <c r="X25" i="7"/>
  <c r="X26" i="7"/>
  <c r="AA11" i="7"/>
  <c r="AA27" i="7"/>
  <c r="AA25" i="7"/>
  <c r="AA26" i="7"/>
  <c r="AA23" i="7"/>
  <c r="AA24" i="7"/>
  <c r="Z11" i="7"/>
  <c r="Z26" i="7"/>
  <c r="Z25" i="7"/>
  <c r="Z23" i="7"/>
  <c r="Z27" i="7"/>
  <c r="Z24" i="7"/>
  <c r="H11" i="7"/>
  <c r="F26" i="7" l="1"/>
  <c r="F24" i="7"/>
  <c r="E25" i="7"/>
  <c r="E23" i="7"/>
  <c r="E26" i="7"/>
  <c r="E27" i="7"/>
  <c r="E24" i="7"/>
  <c r="D27" i="7"/>
  <c r="D25" i="7"/>
  <c r="D24" i="7"/>
  <c r="D26" i="7"/>
  <c r="D23" i="7"/>
  <c r="G27" i="7"/>
  <c r="G24" i="7"/>
  <c r="G23" i="7"/>
  <c r="G25" i="7"/>
  <c r="G26" i="7"/>
  <c r="H16" i="7"/>
  <c r="H22" i="7" s="1"/>
  <c r="I16" i="7"/>
  <c r="I22" i="7" s="1"/>
  <c r="F25" i="7"/>
  <c r="Z16" i="7"/>
  <c r="Z22" i="7" s="1"/>
  <c r="X16" i="7"/>
  <c r="X22" i="7" s="1"/>
  <c r="Q16" i="7"/>
  <c r="Q22" i="7" s="1"/>
  <c r="T16" i="7"/>
  <c r="T22" i="7" s="1"/>
  <c r="F27" i="7"/>
  <c r="M16" i="7"/>
  <c r="M22" i="7" s="1"/>
  <c r="W16" i="7"/>
  <c r="W22" i="7" s="1"/>
  <c r="V16" i="7"/>
  <c r="V22" i="7" s="1"/>
  <c r="U16" i="7"/>
  <c r="U22" i="7" s="1"/>
  <c r="L16" i="7"/>
  <c r="L22" i="7" s="1"/>
  <c r="N16" i="7"/>
  <c r="N22" i="7" s="1"/>
  <c r="Y16" i="7"/>
  <c r="Y22" i="7" s="1"/>
  <c r="J16" i="7"/>
  <c r="J22" i="7" s="1"/>
  <c r="P16" i="7"/>
  <c r="P22" i="7" s="1"/>
  <c r="R16" i="7"/>
  <c r="R22" i="7" s="1"/>
  <c r="O16" i="7"/>
  <c r="O22" i="7" s="1"/>
  <c r="F23" i="7"/>
  <c r="AA16" i="7"/>
  <c r="AA22" i="7" s="1"/>
  <c r="S16" i="7"/>
  <c r="S22" i="7" s="1"/>
  <c r="K16" i="7"/>
  <c r="K22" i="7" s="1"/>
</calcChain>
</file>

<file path=xl/sharedStrings.xml><?xml version="1.0" encoding="utf-8"?>
<sst xmlns="http://schemas.openxmlformats.org/spreadsheetml/2006/main" count="342" uniqueCount="265">
  <si>
    <t>«</t>
  </si>
  <si>
    <t>Antritt</t>
  </si>
  <si>
    <t>Passen (hoch)</t>
  </si>
  <si>
    <t>Kopfball</t>
  </si>
  <si>
    <t>Abschluss</t>
  </si>
  <si>
    <t>Schusskraft</t>
  </si>
  <si>
    <t>Übersicht</t>
  </si>
  <si>
    <t>Ausdauer</t>
  </si>
  <si>
    <t>Robustheit</t>
  </si>
  <si>
    <t>Zweikampf (Luft)</t>
  </si>
  <si>
    <t>Fernschüsse</t>
  </si>
  <si>
    <t>Effet</t>
  </si>
  <si>
    <t>Durchschnitt</t>
  </si>
  <si>
    <t>Schnelligkeit</t>
  </si>
  <si>
    <t>Beweglichkeit</t>
  </si>
  <si>
    <t>Sternenstunde</t>
  </si>
  <si>
    <t>«««««</t>
  </si>
  <si>
    <t>««««¶</t>
  </si>
  <si>
    <t>««««</t>
  </si>
  <si>
    <t>«««¶</t>
  </si>
  <si>
    <t>«««</t>
  </si>
  <si>
    <t>««¶</t>
  </si>
  <si>
    <t>««</t>
  </si>
  <si>
    <t>«¶</t>
  </si>
  <si>
    <t>¶</t>
  </si>
  <si>
    <t>««««««</t>
  </si>
  <si>
    <t>Weltklasse Pozential</t>
  </si>
  <si>
    <t>Hochbegabt</t>
  </si>
  <si>
    <t>Begabt</t>
  </si>
  <si>
    <t>Gehobener Durchschnitt</t>
  </si>
  <si>
    <t>Unterdurchschnittlich</t>
  </si>
  <si>
    <t>Limitiert</t>
  </si>
  <si>
    <t>Stark Limitiert</t>
  </si>
  <si>
    <t>Kein Talent</t>
  </si>
  <si>
    <t>Fußballer?</t>
  </si>
  <si>
    <t>Bezeichnung</t>
  </si>
  <si>
    <t>Sterne</t>
  </si>
  <si>
    <t>Maximalstärke</t>
  </si>
  <si>
    <t>Zweikampf (defensiv)</t>
  </si>
  <si>
    <t>Zweikampf (offensiv)</t>
  </si>
  <si>
    <t>Tackling</t>
  </si>
  <si>
    <t>Deckung</t>
  </si>
  <si>
    <t>Passen (kurz)</t>
  </si>
  <si>
    <t>Passen (lang)</t>
  </si>
  <si>
    <t>Ballkontrolle</t>
  </si>
  <si>
    <t>Attribute (Feldspieler)</t>
  </si>
  <si>
    <t>Attribut (Torwart)</t>
  </si>
  <si>
    <t>Strafraumbeherrschung</t>
  </si>
  <si>
    <t>Mann gegen Mann</t>
  </si>
  <si>
    <t>Standartsituationen</t>
  </si>
  <si>
    <t>Abwurf</t>
  </si>
  <si>
    <t>Stellungspiel</t>
  </si>
  <si>
    <t>Reaktion</t>
  </si>
  <si>
    <t>Abstöße</t>
  </si>
  <si>
    <t>Stellungsspiel</t>
  </si>
  <si>
    <t>Fausten</t>
  </si>
  <si>
    <t>Taktisches Verständnis</t>
  </si>
  <si>
    <t xml:space="preserve">Trickreichtum </t>
  </si>
  <si>
    <t>Reflexe</t>
  </si>
  <si>
    <t>Zweikampf (offensiv) | Strafraumbeherrschung</t>
  </si>
  <si>
    <t>Deckung | Reflexe</t>
  </si>
  <si>
    <t>Kopfball | Fausten</t>
  </si>
  <si>
    <t>Abschluss | Abwurf</t>
  </si>
  <si>
    <t>Fernschüsse | Abstöße</t>
  </si>
  <si>
    <t>Der Wert spiegelt die maximale Laufgeschwindigkeit des Spielers wieder.</t>
  </si>
  <si>
    <t>Je höher der Wert, desto schneller kann der Spieler seine maximale Laufgeschwindigkeit erreichen.</t>
  </si>
  <si>
    <t>Gibt an, wie schnell der Spieler seine Laufrichtung verändern kann.</t>
  </si>
  <si>
    <t>Bonuswert auf Zweikämpfe und Wiederstandsfähigkeit gegenüber generischer Tacklings.</t>
  </si>
  <si>
    <t>Abschläge</t>
  </si>
  <si>
    <t>Flugparaden</t>
  </si>
  <si>
    <t>Zeit zwischen Ballannahme und nächster Aktion, Präzision einer direkten Aktion mit dem 1. Kontakt.</t>
  </si>
  <si>
    <t xml:space="preserve">Präzision von Aktionen (Pass, langer Pass, Abschluss) mit dem Kopf | Präzision und weite beim Fausten. </t>
  </si>
  <si>
    <t>Präzision von langen Pässen.</t>
  </si>
  <si>
    <t>Präzision von kurzen Pässen.</t>
  </si>
  <si>
    <t>Raum- und Manndeckungsfähigkeit. | Reflexe bei schüssen aus naher Distanz.</t>
  </si>
  <si>
    <t>Rustikales Einsteigen zum Klären und Erkämpfen des Balles. | Stärke in 1 gegen 1 Situationen .</t>
  </si>
  <si>
    <t>Vergleichswert für Luftduelle. | Reichweite bei Hechtsprünge zum Ball.</t>
  </si>
  <si>
    <t>Aktionen Verbrauchen Kondiotion. Die Ausdauer reguliert den Verbrauch.</t>
  </si>
  <si>
    <t>Bonuswert auf Elfmeter, Ecken, direkten und indirekten Freistößen.</t>
  </si>
  <si>
    <t xml:space="preserve">Präzision von Torschüsen außerhalb des Strafraumes. Relevant bei Freistöße| Präzision und weite von Abstößen. </t>
  </si>
  <si>
    <t>Präzision von hochen Pässen. Relevant bei Ecken und indirekten Freistößen.</t>
  </si>
  <si>
    <t>Stärke von Torschüssen. Relevant bei Elfmetern und direkten Freistößen | Präzision und weite bei Abschlägen.</t>
  </si>
  <si>
    <t>Drehung, die dem Ball mitgegeben wird. Relevant bei direkten und indirekten Freistößen, Ecken und Flanken.</t>
  </si>
  <si>
    <t>Erfassung der Spielsituationen. Kürzere Reaktionszeit bei höheren Wert.</t>
  </si>
  <si>
    <t>Positionierung im Verhältnis zu Mit- und Gegenspielern, Offensiv wie defensiv.</t>
  </si>
  <si>
    <t>Möglichkeiten mit besonderne Aktionen sich Platz zu verschaffen oder spektakuläre Abschlüsse.</t>
  </si>
  <si>
    <t>Vermögen taktische Vorgaben umzusetzten. Zeit bis zum völligen Verständnis einer (komplexen) Taktik.</t>
  </si>
  <si>
    <t>Auge für den freien Mann und den guten Pass. Verbessert die Entscheidungsfindung des Spielers.</t>
  </si>
  <si>
    <t>Chance, im Zweikampf am Gegner vorbei zu kommen. | Herauslaufen bei hohen Pässen und Ecken.</t>
  </si>
  <si>
    <t>Präzision von Torschüssen aus naher Distanz. Relevant bei Elfmetern.| Präzision und weite bei Abwürfen.</t>
  </si>
  <si>
    <t>Ball halten</t>
  </si>
  <si>
    <t>Chance, dem Gegner den Ball abzunehmen. | Stärke den Ball festzuhalten und nicht abklatschen zu lassen.</t>
  </si>
  <si>
    <t>Zweikampf (Luft) | Flugparaden</t>
  </si>
  <si>
    <t>Tackling | Mann gegen Mann</t>
  </si>
  <si>
    <t>Schusskraft | Abschläge</t>
  </si>
  <si>
    <t>Pro Grundstärke</t>
  </si>
  <si>
    <t>Grundstärke</t>
  </si>
  <si>
    <t>Statur:</t>
  </si>
  <si>
    <t>Statur: Normal</t>
  </si>
  <si>
    <t>Statur: Athletisch</t>
  </si>
  <si>
    <t>Statur: Kräftig</t>
  </si>
  <si>
    <t>Statur: Schmächtig</t>
  </si>
  <si>
    <t>Größe: Normal</t>
  </si>
  <si>
    <t>Größe: Sehr klein</t>
  </si>
  <si>
    <t>Größe: Klein</t>
  </si>
  <si>
    <t>Größe: Groß</t>
  </si>
  <si>
    <t>Größe: Sehr groß</t>
  </si>
  <si>
    <t>Größe:</t>
  </si>
  <si>
    <t>Basiswert</t>
  </si>
  <si>
    <t>Normal</t>
  </si>
  <si>
    <t>Alter: 16</t>
  </si>
  <si>
    <t>Alter: 17</t>
  </si>
  <si>
    <t>Alter: 18</t>
  </si>
  <si>
    <t>Alter: 19</t>
  </si>
  <si>
    <t>Alter: 20</t>
  </si>
  <si>
    <t>Alter: 21</t>
  </si>
  <si>
    <t>Alter: 22</t>
  </si>
  <si>
    <t>Alter: 23</t>
  </si>
  <si>
    <t>Alter: 24</t>
  </si>
  <si>
    <t>Alter: 25</t>
  </si>
  <si>
    <t>Alter: 26</t>
  </si>
  <si>
    <t>Alter: 27</t>
  </si>
  <si>
    <t>Alter: 28</t>
  </si>
  <si>
    <t>Alter: 29</t>
  </si>
  <si>
    <t>Alter: 30</t>
  </si>
  <si>
    <t>Alter: 31</t>
  </si>
  <si>
    <t>Alter: 32</t>
  </si>
  <si>
    <t>Alter: 33</t>
  </si>
  <si>
    <t>Alter: 34</t>
  </si>
  <si>
    <t>Alter: 35</t>
  </si>
  <si>
    <t>Alter: 36</t>
  </si>
  <si>
    <t>Alter: 37</t>
  </si>
  <si>
    <t>Alter: 38</t>
  </si>
  <si>
    <t>Alter: 39</t>
  </si>
  <si>
    <t>Alter: 40</t>
  </si>
  <si>
    <t>Alter: 41</t>
  </si>
  <si>
    <t>Alter: 42</t>
  </si>
  <si>
    <t>Alter: 43</t>
  </si>
  <si>
    <t>Alter: 44</t>
  </si>
  <si>
    <t>Alter: 45</t>
  </si>
  <si>
    <t>Alter:</t>
  </si>
  <si>
    <t>Fähigkeit: Schnelligkeit +</t>
  </si>
  <si>
    <t>Fähigkeit: Schnelligkeit -</t>
  </si>
  <si>
    <t>Fähigkeit: Kopfball +</t>
  </si>
  <si>
    <t>Fähigkeit: Kopfball -</t>
  </si>
  <si>
    <t>Basiswert: Feldspieler</t>
  </si>
  <si>
    <t>Basiswert: Torwart</t>
  </si>
  <si>
    <t>Fähigkeit:</t>
  </si>
  <si>
    <t>Zweikampf (defensiv) | Ball festhalten</t>
  </si>
  <si>
    <t>Fähigkeit: (TW) Flugparaden +</t>
  </si>
  <si>
    <t>Fähigkeit: (TW) Flugparaden -</t>
  </si>
  <si>
    <t>Fähigkeit: (TW) Reflexe +</t>
  </si>
  <si>
    <t>Fähigkeit: (TW) Reflexe -</t>
  </si>
  <si>
    <t>Fähigkeit: (TW) Abschläge +</t>
  </si>
  <si>
    <t>Fähigkeit: (TW) Abschläge -</t>
  </si>
  <si>
    <t>Fähigkeit: (TW) Abstöße +</t>
  </si>
  <si>
    <t>Fähigkeit: (TW) Abstöße -</t>
  </si>
  <si>
    <t>ES und Grundwerte Attribute</t>
  </si>
  <si>
    <t>Motivation (x) 0-120</t>
  </si>
  <si>
    <t>Form (+/-) 0-20 (</t>
  </si>
  <si>
    <t>Attribute durch Körper</t>
  </si>
  <si>
    <t>ES und Attribute nach Körper</t>
  </si>
  <si>
    <t xml:space="preserve">Atrribute vor Charakter / Eigenschaften </t>
  </si>
  <si>
    <t>Übersicht:  Talente und Stärke</t>
  </si>
  <si>
    <t>Charaktereigenschaft: Kämpfernatur</t>
  </si>
  <si>
    <t xml:space="preserve">Charaktereigenschaft: </t>
  </si>
  <si>
    <t>Fähigkeit: Antritt -</t>
  </si>
  <si>
    <t>Fähigkeit: Antritt +</t>
  </si>
  <si>
    <t>Fähigkeit: Robustheit -</t>
  </si>
  <si>
    <t>Fähigkeit: Robustheit +</t>
  </si>
  <si>
    <t>Fähigkeit: Beweglichkeit +</t>
  </si>
  <si>
    <t>Fähigkeit: Beweglichkeit -</t>
  </si>
  <si>
    <t>Fähigkeit: Ausdauer +</t>
  </si>
  <si>
    <t>Fähigkeit: Ausdauer -</t>
  </si>
  <si>
    <t>Fähigkeit: Passen (kurz) -</t>
  </si>
  <si>
    <t>Fähigkeit: Passen (kurz) +</t>
  </si>
  <si>
    <t>Fähigkeit: Passen (lang) -</t>
  </si>
  <si>
    <t>Fähigkeit: Passen (lang) +</t>
  </si>
  <si>
    <t>Fähigkeit: Passen (hoch) -</t>
  </si>
  <si>
    <t>Fähigkeit: Passen (hoch) +</t>
  </si>
  <si>
    <t>Fähigkeit: Ballkontrolle -</t>
  </si>
  <si>
    <t>Fähigkeit: Ballkontrolle +</t>
  </si>
  <si>
    <t>Fähigkeit: Standartsituationen -</t>
  </si>
  <si>
    <t>Fähigkeit: Standartsituationen +</t>
  </si>
  <si>
    <t>Fähigkeit: Effet -</t>
  </si>
  <si>
    <t>Fähigkeit: Effet +</t>
  </si>
  <si>
    <t>Fähigkeit: Übersicht -</t>
  </si>
  <si>
    <t>Fähigkeit: Übersicht +</t>
  </si>
  <si>
    <t>Fähigkeit: Stellungsspiel -</t>
  </si>
  <si>
    <t>Fähigkeit: Stellungsspiel +</t>
  </si>
  <si>
    <t>Fähigkeit: Reaktion +</t>
  </si>
  <si>
    <t>Fähigkeit: Reaktion -</t>
  </si>
  <si>
    <t>Fähigkeit: Trickreichtum -</t>
  </si>
  <si>
    <t>Fähigkeit: Trickreichtum +</t>
  </si>
  <si>
    <t>Fähigkeit: Taktikverständnis -</t>
  </si>
  <si>
    <t>Fähigkeit: Taktikverständnis +</t>
  </si>
  <si>
    <t>Fähigkeit: (TW) Ball festhalten -</t>
  </si>
  <si>
    <t>Fähigkeit: (TW) Ball festhalten +</t>
  </si>
  <si>
    <t>Fähigkeit: (TW) Strafraumbeherschung -</t>
  </si>
  <si>
    <t>Fähigkeit: (TW) Strafraumbeherschung +</t>
  </si>
  <si>
    <t>Fähigkeit: (TW) Mann gegen Mann +</t>
  </si>
  <si>
    <t>Fähigkeit: (TW) Mann gegen Mann -</t>
  </si>
  <si>
    <t>Fähigkeit: (FS) Zweikampf (def) -</t>
  </si>
  <si>
    <t>Fähigkeit: (FS) Zweikampf (off) -</t>
  </si>
  <si>
    <t>Fähigkeit: (FS) Zweikampf (def) +</t>
  </si>
  <si>
    <t>Fähigkeit: (FS) Zweikampf (off) +</t>
  </si>
  <si>
    <t>Fähigkeit: (FS) Zweikampf (Luft) -</t>
  </si>
  <si>
    <t>Fähigkeit: (FS) Zweikampf (Luft) +</t>
  </si>
  <si>
    <t>Fähigkeit: (FS) Tackling -</t>
  </si>
  <si>
    <t>Fähigkeit: (FS) Tackling +</t>
  </si>
  <si>
    <t>Fähigkeit: (FS) Deckung -</t>
  </si>
  <si>
    <t>Fähigkeit: (FS) Deckung +</t>
  </si>
  <si>
    <t>Fähigkeit: (FS) Fernschüsse +</t>
  </si>
  <si>
    <t>Fähigkeit: (FS) Fernschüsse -</t>
  </si>
  <si>
    <t>Fähigkeit: (FS) Schusskraft +</t>
  </si>
  <si>
    <t>Fähigkeit: (FS) Schusskraft -</t>
  </si>
  <si>
    <t>Fähigkeit: (FS) Abschluss +</t>
  </si>
  <si>
    <t>Fähigkeit: (FS) Abschluss -</t>
  </si>
  <si>
    <t>Fähigkeit: (TW) Abwurf -</t>
  </si>
  <si>
    <t>Fähigkeit: (TW) Abwurf +</t>
  </si>
  <si>
    <t>Charaktereigenschaft: Straßenfussballer</t>
  </si>
  <si>
    <t>-&gt; Begabt am Ball, aber hält sich nicht so wirklich an taktische Vorgaben</t>
  </si>
  <si>
    <t>Charaktereigenschaft: Starspieler (pos)</t>
  </si>
  <si>
    <t>Charaktereigenschaft: Starspieler (neg)</t>
  </si>
  <si>
    <t>-&gt; Ist dafür aber bei unwichtigen Spielen auffällig unaufällig.</t>
  </si>
  <si>
    <t>Charaktereigenschaft: Naturtalent</t>
  </si>
  <si>
    <t>Charaktereigenschaft: Raumdeuter</t>
  </si>
  <si>
    <t xml:space="preserve">-&gt; So richtig Fußball spielen kann er nicht, aber irgendwie klappt das bei ihm schon. </t>
  </si>
  <si>
    <t>Charaktereigenschaft: Schnarchnase</t>
  </si>
  <si>
    <t>-&gt; Braucht immer etwas um ins Spiel zu finden, Baut Attribute über die ersten 20 Minuten auf.</t>
  </si>
  <si>
    <t>-&gt; Ein Spieler für die ganz großen Spieler, da lässt er gerne sein ganzes Können aufblitze!</t>
  </si>
  <si>
    <t>-&gt; Wenn einmal im Rückstand erhält der Spieler zusätzliche Attribute für den Rest des Spieles</t>
  </si>
  <si>
    <t>Charaktereigenschaft: Treter</t>
  </si>
  <si>
    <t>-&gt; Spielt gerne mal ein unnötiges Foul, ist aber durchaus stärker im Zweikampf.</t>
  </si>
  <si>
    <t>Charaktereigenschaft: Freistoßexperte</t>
  </si>
  <si>
    <t>Charaktereigenschaft: Dickkopf</t>
  </si>
  <si>
    <t>-&gt; Der Mann für die ruhenden Bälle! (Schwachsinniger Charakter, einfach nur als Platzhalter)</t>
  </si>
  <si>
    <t>-&gt; Geht am liebsten mit den Kopf durch die Wand! (Wie Freistoßexperter - einfach nur Platzhalter)</t>
  </si>
  <si>
    <t>Attribute Hauptposition</t>
  </si>
  <si>
    <t>Nebenposition 90%</t>
  </si>
  <si>
    <t>Allrounder/Gespiegelte Pos.80%</t>
  </si>
  <si>
    <t>Fremde Position Grad 1 70%</t>
  </si>
  <si>
    <t>Attribute durch Fähigkeiten</t>
  </si>
  <si>
    <t>Attribute durch Charakter</t>
  </si>
  <si>
    <t>Fremde Position Grad 2 50%</t>
  </si>
  <si>
    <t>Torwart &lt;-&gt; Feldspieler 20 %</t>
  </si>
  <si>
    <t>-&gt; Er behandelt den Ball wie ein Vogelfreund das Rohe Straßenei</t>
  </si>
  <si>
    <t>Gefühlsbestimmt</t>
  </si>
  <si>
    <t>Verhandlungen</t>
  </si>
  <si>
    <t>Event</t>
  </si>
  <si>
    <t>Stärkenberechnung</t>
  </si>
  <si>
    <t>Einfluss der Motivation auf ES verdoppelt</t>
  </si>
  <si>
    <t>Motivationsbeeinflussung durch Events werden verdoppelt</t>
  </si>
  <si>
    <t>-</t>
  </si>
  <si>
    <t>Stoisch</t>
  </si>
  <si>
    <t>Beschreibung</t>
  </si>
  <si>
    <t>Hat dieser Mensch überhaupt Gefühle?</t>
  </si>
  <si>
    <t>Verstandsbestimmt</t>
  </si>
  <si>
    <t>Motivationsbeeinflussung durch Events wird halbiert</t>
  </si>
  <si>
    <t>Einfluss der Motivation auf ES halbiert</t>
  </si>
  <si>
    <t xml:space="preserve">Kein Einfluss auf ES durch Motivation </t>
  </si>
  <si>
    <t>Keine Events mit Motivationsbeeinflussung</t>
  </si>
  <si>
    <t>Ein Kühler Kopf, der sich von nichts aus der Ruhe bringen lässt.</t>
  </si>
  <si>
    <t>Ein sehr emotionaler Spieler</t>
  </si>
  <si>
    <t>Die Grundstärke ist angedacht, um die Effekte von negativen Fähigkeiten oder Eigenschaften auszuglichen und das Fallen eines Attributes auf 0 zu vermeiden - würde elegantere Lösungen geben.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</si>
</sst>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Fill="1"/>
    <xf numFmtId="0" fontId="0" fillId="0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1" fillId="0" borderId="0" xfId="0" applyFont="1"/>
    <xf numFmtId="0" fontId="0" fillId="0" borderId="0" xfId="0" applyAlignment="1">
      <alignment vertical="center"/>
    </xf>
    <xf numFmtId="0" fontId="2" fillId="0" borderId="0" xfId="0" applyFont="1" applyBorder="1" applyAlignment="1"/>
    <xf numFmtId="0" fontId="0" fillId="0" borderId="0" xfId="0" applyBorder="1"/>
    <xf numFmtId="0" fontId="1" fillId="0" borderId="0" xfId="0" applyFont="1" applyFill="1" applyBorder="1" applyAlignment="1"/>
    <xf numFmtId="0" fontId="0" fillId="0" borderId="0" xfId="0" applyBorder="1" applyAlignment="1">
      <alignment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/>
    <xf numFmtId="0" fontId="0" fillId="2" borderId="1" xfId="0" applyFill="1" applyBorder="1"/>
    <xf numFmtId="0" fontId="2" fillId="3" borderId="1" xfId="0" applyFont="1" applyFill="1" applyBorder="1" applyAlignment="1"/>
    <xf numFmtId="0" fontId="0" fillId="3" borderId="1" xfId="0" applyFill="1" applyBorder="1"/>
    <xf numFmtId="0" fontId="2" fillId="4" borderId="1" xfId="0" applyFont="1" applyFill="1" applyBorder="1" applyAlignment="1"/>
    <xf numFmtId="0" fontId="0" fillId="4" borderId="1" xfId="0" applyFill="1" applyBorder="1"/>
    <xf numFmtId="0" fontId="1" fillId="0" borderId="11" xfId="0" applyFont="1" applyBorder="1"/>
    <xf numFmtId="0" fontId="0" fillId="0" borderId="0" xfId="0" applyAlignment="1">
      <alignment vertical="top"/>
    </xf>
    <xf numFmtId="0" fontId="0" fillId="8" borderId="0" xfId="0" applyFill="1"/>
    <xf numFmtId="0" fontId="0" fillId="5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9" borderId="8" xfId="0" applyFill="1" applyBorder="1" applyAlignment="1">
      <alignment textRotation="90"/>
    </xf>
    <xf numFmtId="0" fontId="0" fillId="6" borderId="8" xfId="0" applyFill="1" applyBorder="1" applyAlignment="1">
      <alignment textRotation="90"/>
    </xf>
    <xf numFmtId="0" fontId="0" fillId="5" borderId="8" xfId="0" applyFill="1" applyBorder="1" applyAlignment="1">
      <alignment textRotation="90"/>
    </xf>
    <xf numFmtId="0" fontId="0" fillId="8" borderId="8" xfId="0" applyFill="1" applyBorder="1" applyAlignment="1">
      <alignment textRotation="90"/>
    </xf>
    <xf numFmtId="0" fontId="0" fillId="7" borderId="8" xfId="0" applyFill="1" applyBorder="1" applyAlignment="1">
      <alignment textRotation="90"/>
    </xf>
    <xf numFmtId="0" fontId="0" fillId="0" borderId="4" xfId="0" applyFill="1" applyBorder="1"/>
    <xf numFmtId="0" fontId="0" fillId="0" borderId="6" xfId="0" applyFill="1" applyBorder="1"/>
    <xf numFmtId="0" fontId="0" fillId="0" borderId="0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2" xfId="0" applyFill="1" applyBorder="1"/>
    <xf numFmtId="0" fontId="0" fillId="0" borderId="0" xfId="0" applyFont="1"/>
    <xf numFmtId="0" fontId="0" fillId="0" borderId="8" xfId="0" applyFill="1" applyBorder="1"/>
    <xf numFmtId="0" fontId="0" fillId="0" borderId="16" xfId="0" applyFill="1" applyBorder="1"/>
    <xf numFmtId="0" fontId="0" fillId="0" borderId="11" xfId="0" applyFill="1" applyBorder="1"/>
    <xf numFmtId="0" fontId="0" fillId="9" borderId="20" xfId="0" applyFill="1" applyBorder="1" applyAlignment="1">
      <alignment textRotation="90"/>
    </xf>
    <xf numFmtId="0" fontId="0" fillId="9" borderId="21" xfId="0" applyFill="1" applyBorder="1" applyAlignment="1">
      <alignment textRotation="90"/>
    </xf>
    <xf numFmtId="0" fontId="0" fillId="6" borderId="21" xfId="0" applyFill="1" applyBorder="1" applyAlignment="1">
      <alignment textRotation="90"/>
    </xf>
    <xf numFmtId="0" fontId="0" fillId="5" borderId="21" xfId="0" applyFill="1" applyBorder="1" applyAlignment="1">
      <alignment textRotation="90"/>
    </xf>
    <xf numFmtId="0" fontId="0" fillId="8" borderId="21" xfId="0" applyFill="1" applyBorder="1" applyAlignment="1">
      <alignment textRotation="90"/>
    </xf>
    <xf numFmtId="0" fontId="0" fillId="7" borderId="21" xfId="0" applyFill="1" applyBorder="1" applyAlignment="1">
      <alignment textRotation="90"/>
    </xf>
    <xf numFmtId="0" fontId="0" fillId="7" borderId="22" xfId="0" applyFill="1" applyBorder="1" applyAlignment="1">
      <alignment textRotation="90"/>
    </xf>
    <xf numFmtId="0" fontId="4" fillId="4" borderId="12" xfId="0" applyFont="1" applyFill="1" applyBorder="1" applyAlignment="1"/>
    <xf numFmtId="0" fontId="4" fillId="4" borderId="13" xfId="0" applyFont="1" applyFill="1" applyBorder="1" applyAlignment="1">
      <alignment horizontal="center"/>
    </xf>
    <xf numFmtId="1" fontId="4" fillId="4" borderId="12" xfId="0" applyNumberFormat="1" applyFont="1" applyFill="1" applyBorder="1"/>
    <xf numFmtId="1" fontId="4" fillId="4" borderId="14" xfId="0" applyNumberFormat="1" applyFont="1" applyFill="1" applyBorder="1"/>
    <xf numFmtId="1" fontId="4" fillId="4" borderId="13" xfId="0" applyNumberFormat="1" applyFont="1" applyFill="1" applyBorder="1"/>
    <xf numFmtId="0" fontId="4" fillId="4" borderId="12" xfId="0" applyFont="1" applyFill="1" applyBorder="1"/>
    <xf numFmtId="0" fontId="4" fillId="4" borderId="13" xfId="0" applyFont="1" applyFill="1" applyBorder="1"/>
    <xf numFmtId="1" fontId="4" fillId="4" borderId="17" xfId="0" applyNumberFormat="1" applyFont="1" applyFill="1" applyBorder="1"/>
    <xf numFmtId="1" fontId="4" fillId="4" borderId="18" xfId="0" applyNumberFormat="1" applyFont="1" applyFill="1" applyBorder="1"/>
    <xf numFmtId="1" fontId="4" fillId="4" borderId="19" xfId="0" applyNumberFormat="1" applyFont="1" applyFill="1" applyBorder="1"/>
    <xf numFmtId="0" fontId="4" fillId="4" borderId="14" xfId="0" applyFont="1" applyFill="1" applyBorder="1"/>
    <xf numFmtId="0" fontId="0" fillId="10" borderId="12" xfId="0" applyFill="1" applyBorder="1"/>
    <xf numFmtId="164" fontId="0" fillId="10" borderId="14" xfId="0" applyNumberFormat="1" applyFill="1" applyBorder="1"/>
    <xf numFmtId="1" fontId="0" fillId="10" borderId="12" xfId="0" applyNumberFormat="1" applyFill="1" applyBorder="1"/>
    <xf numFmtId="1" fontId="0" fillId="10" borderId="14" xfId="0" applyNumberFormat="1" applyFill="1" applyBorder="1"/>
    <xf numFmtId="1" fontId="0" fillId="10" borderId="13" xfId="0" applyNumberFormat="1" applyFill="1" applyBorder="1"/>
    <xf numFmtId="0" fontId="0" fillId="4" borderId="12" xfId="0" applyFill="1" applyBorder="1"/>
    <xf numFmtId="0" fontId="0" fillId="4" borderId="13" xfId="0" applyFill="1" applyBorder="1"/>
    <xf numFmtId="1" fontId="0" fillId="4" borderId="23" xfId="0" applyNumberFormat="1" applyFill="1" applyBorder="1"/>
    <xf numFmtId="1" fontId="0" fillId="4" borderId="15" xfId="0" applyNumberFormat="1" applyFill="1" applyBorder="1"/>
    <xf numFmtId="1" fontId="0" fillId="4" borderId="24" xfId="0" applyNumberFormat="1" applyFill="1" applyBorder="1"/>
    <xf numFmtId="1" fontId="0" fillId="4" borderId="17" xfId="0" applyNumberFormat="1" applyFill="1" applyBorder="1"/>
    <xf numFmtId="1" fontId="0" fillId="4" borderId="18" xfId="0" applyNumberFormat="1" applyFill="1" applyBorder="1"/>
    <xf numFmtId="1" fontId="0" fillId="4" borderId="19" xfId="0" applyNumberFormat="1" applyFill="1" applyBorder="1"/>
    <xf numFmtId="0" fontId="3" fillId="0" borderId="0" xfId="0" applyFont="1" applyBorder="1" applyAlignment="1">
      <alignment vertical="center"/>
    </xf>
    <xf numFmtId="0" fontId="0" fillId="0" borderId="0" xfId="0" applyAlignment="1">
      <alignment vertical="top" wrapText="1"/>
    </xf>
    <xf numFmtId="0" fontId="1" fillId="0" borderId="0" xfId="0" applyFont="1" applyBorder="1" applyAlignment="1"/>
    <xf numFmtId="0" fontId="0" fillId="0" borderId="0" xfId="0" applyFill="1" applyBorder="1" applyAlignment="1"/>
    <xf numFmtId="0" fontId="0" fillId="0" borderId="0" xfId="0" quotePrefix="1" applyBorder="1"/>
    <xf numFmtId="0" fontId="0" fillId="0" borderId="0" xfId="0" applyAlignment="1"/>
    <xf numFmtId="0" fontId="0" fillId="0" borderId="1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0" xfId="0" quotePrefix="1"/>
    <xf numFmtId="1" fontId="0" fillId="4" borderId="14" xfId="0" applyNumberFormat="1" applyFill="1" applyBorder="1"/>
    <xf numFmtId="1" fontId="0" fillId="4" borderId="13" xfId="0" applyNumberFormat="1" applyFill="1" applyBorder="1"/>
    <xf numFmtId="1" fontId="0" fillId="3" borderId="12" xfId="0" applyNumberFormat="1" applyFill="1" applyBorder="1"/>
    <xf numFmtId="1" fontId="0" fillId="3" borderId="14" xfId="0" applyNumberFormat="1" applyFill="1" applyBorder="1"/>
    <xf numFmtId="1" fontId="0" fillId="3" borderId="13" xfId="0" applyNumberFormat="1" applyFill="1" applyBorder="1"/>
    <xf numFmtId="0" fontId="0" fillId="4" borderId="23" xfId="0" applyFill="1" applyBorder="1"/>
    <xf numFmtId="0" fontId="0" fillId="4" borderId="15" xfId="0" applyFill="1" applyBorder="1"/>
    <xf numFmtId="0" fontId="0" fillId="4" borderId="24" xfId="0" applyFill="1" applyBorder="1"/>
    <xf numFmtId="0" fontId="0" fillId="4" borderId="14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1" fontId="0" fillId="10" borderId="17" xfId="0" applyNumberFormat="1" applyFill="1" applyBorder="1"/>
    <xf numFmtId="1" fontId="0" fillId="10" borderId="18" xfId="0" applyNumberFormat="1" applyFill="1" applyBorder="1"/>
    <xf numFmtId="1" fontId="0" fillId="10" borderId="19" xfId="0" applyNumberFormat="1" applyFill="1" applyBorder="1"/>
    <xf numFmtId="0" fontId="0" fillId="10" borderId="14" xfId="0" applyFill="1" applyBorder="1"/>
    <xf numFmtId="0" fontId="0" fillId="10" borderId="13" xfId="0" applyFill="1" applyBorder="1"/>
    <xf numFmtId="0" fontId="0" fillId="3" borderId="12" xfId="0" applyFill="1" applyBorder="1"/>
    <xf numFmtId="164" fontId="0" fillId="3" borderId="14" xfId="0" applyNumberFormat="1" applyFill="1" applyBorder="1"/>
    <xf numFmtId="1" fontId="0" fillId="3" borderId="12" xfId="0" applyNumberFormat="1" applyFont="1" applyFill="1" applyBorder="1"/>
    <xf numFmtId="1" fontId="0" fillId="3" borderId="14" xfId="0" applyNumberFormat="1" applyFont="1" applyFill="1" applyBorder="1"/>
    <xf numFmtId="1" fontId="0" fillId="3" borderId="13" xfId="0" applyNumberFormat="1" applyFont="1" applyFill="1" applyBorder="1"/>
    <xf numFmtId="0" fontId="3" fillId="2" borderId="12" xfId="0" applyFont="1" applyFill="1" applyBorder="1" applyAlignment="1"/>
    <xf numFmtId="164" fontId="3" fillId="2" borderId="14" xfId="0" applyNumberFormat="1" applyFont="1" applyFill="1" applyBorder="1" applyAlignment="1"/>
    <xf numFmtId="1" fontId="3" fillId="2" borderId="23" xfId="0" applyNumberFormat="1" applyFont="1" applyFill="1" applyBorder="1"/>
    <xf numFmtId="1" fontId="3" fillId="2" borderId="15" xfId="0" applyNumberFormat="1" applyFont="1" applyFill="1" applyBorder="1"/>
    <xf numFmtId="1" fontId="3" fillId="2" borderId="24" xfId="0" applyNumberFormat="1" applyFont="1" applyFill="1" applyBorder="1"/>
    <xf numFmtId="164" fontId="0" fillId="4" borderId="13" xfId="0" applyNumberFormat="1" applyFill="1" applyBorder="1"/>
    <xf numFmtId="0" fontId="5" fillId="0" borderId="0" xfId="0" quotePrefix="1" applyFont="1"/>
    <xf numFmtId="0" fontId="5" fillId="0" borderId="0" xfId="0" applyFont="1"/>
    <xf numFmtId="0" fontId="0" fillId="0" borderId="5" xfId="0" applyFill="1" applyBorder="1" applyAlignment="1">
      <alignment wrapText="1"/>
    </xf>
    <xf numFmtId="0" fontId="0" fillId="4" borderId="12" xfId="0" applyFill="1" applyBorder="1" applyAlignment="1">
      <alignment horizontal="left"/>
    </xf>
    <xf numFmtId="0" fontId="0" fillId="4" borderId="13" xfId="0" applyFill="1" applyBorder="1" applyAlignment="1">
      <alignment horizontal="left"/>
    </xf>
    <xf numFmtId="0" fontId="0" fillId="10" borderId="12" xfId="0" applyFill="1" applyBorder="1" applyAlignment="1">
      <alignment horizontal="left"/>
    </xf>
    <xf numFmtId="0" fontId="0" fillId="10" borderId="14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18" xfId="0" applyFill="1" applyBorder="1" applyAlignment="1">
      <alignment horizontal="left"/>
    </xf>
    <xf numFmtId="0" fontId="0" fillId="10" borderId="13" xfId="0" applyFill="1" applyBorder="1" applyAlignment="1">
      <alignment horizontal="left"/>
    </xf>
    <xf numFmtId="0" fontId="0" fillId="4" borderId="8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0" borderId="5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CC"/>
      <color rgb="FFFFFF00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opLeftCell="A4" workbookViewId="0">
      <selection activeCell="B2" sqref="B2"/>
    </sheetView>
  </sheetViews>
  <sheetFormatPr baseColWidth="10" defaultRowHeight="15" x14ac:dyDescent="0.25"/>
  <cols>
    <col min="1" max="1" width="30" customWidth="1"/>
    <col min="2" max="2" width="11.140625" bestFit="1" customWidth="1"/>
    <col min="3" max="7" width="4.140625" bestFit="1" customWidth="1"/>
    <col min="8" max="8" width="5" bestFit="1" customWidth="1"/>
    <col min="9" max="27" width="4.140625" bestFit="1" customWidth="1"/>
  </cols>
  <sheetData>
    <row r="1" spans="1:27" ht="227.25" thickBot="1" x14ac:dyDescent="0.3">
      <c r="C1" s="43" t="s">
        <v>1</v>
      </c>
      <c r="D1" s="44" t="s">
        <v>13</v>
      </c>
      <c r="E1" s="44" t="s">
        <v>8</v>
      </c>
      <c r="F1" s="44" t="s">
        <v>14</v>
      </c>
      <c r="G1" s="44" t="s">
        <v>7</v>
      </c>
      <c r="H1" s="45" t="s">
        <v>148</v>
      </c>
      <c r="I1" s="45" t="s">
        <v>59</v>
      </c>
      <c r="J1" s="45" t="s">
        <v>92</v>
      </c>
      <c r="K1" s="45" t="s">
        <v>93</v>
      </c>
      <c r="L1" s="45" t="s">
        <v>60</v>
      </c>
      <c r="M1" s="46" t="s">
        <v>42</v>
      </c>
      <c r="N1" s="46" t="s">
        <v>43</v>
      </c>
      <c r="O1" s="46" t="s">
        <v>2</v>
      </c>
      <c r="P1" s="46" t="s">
        <v>44</v>
      </c>
      <c r="Q1" s="46" t="s">
        <v>61</v>
      </c>
      <c r="R1" s="47" t="s">
        <v>62</v>
      </c>
      <c r="S1" s="47" t="s">
        <v>94</v>
      </c>
      <c r="T1" s="47" t="s">
        <v>63</v>
      </c>
      <c r="U1" s="47" t="s">
        <v>49</v>
      </c>
      <c r="V1" s="47" t="s">
        <v>11</v>
      </c>
      <c r="W1" s="48" t="s">
        <v>6</v>
      </c>
      <c r="X1" s="48" t="s">
        <v>51</v>
      </c>
      <c r="Y1" s="48" t="s">
        <v>52</v>
      </c>
      <c r="Z1" s="48" t="s">
        <v>57</v>
      </c>
      <c r="AA1" s="49" t="s">
        <v>56</v>
      </c>
    </row>
    <row r="2" spans="1:27" s="39" customFormat="1" ht="15.75" thickBot="1" x14ac:dyDescent="0.3">
      <c r="A2" s="50" t="s">
        <v>108</v>
      </c>
      <c r="B2" s="51"/>
      <c r="C2" s="52">
        <f>IF($B$2="TW",Beeinflussung!B4,Beeinflussung!B3)</f>
        <v>15</v>
      </c>
      <c r="D2" s="53">
        <f>IF($B$2="TW",Beeinflussung!C4,Beeinflussung!C3)</f>
        <v>15</v>
      </c>
      <c r="E2" s="53">
        <f>IF($B$2="TW",Beeinflussung!D4,Beeinflussung!D3)</f>
        <v>15</v>
      </c>
      <c r="F2" s="53">
        <f>IF($B$2="TW",Beeinflussung!E4,Beeinflussung!E3)</f>
        <v>15</v>
      </c>
      <c r="G2" s="53">
        <f>IF($B$2="TW",Beeinflussung!F4,Beeinflussung!F3)</f>
        <v>15</v>
      </c>
      <c r="H2" s="53">
        <f>IF($B$2="TW",Beeinflussung!G4,Beeinflussung!G3)</f>
        <v>15</v>
      </c>
      <c r="I2" s="53">
        <f>IF($B$2="TW",Beeinflussung!H4,Beeinflussung!H3)</f>
        <v>15</v>
      </c>
      <c r="J2" s="53">
        <f>IF($B$2="TW",Beeinflussung!I4,Beeinflussung!I3)</f>
        <v>15</v>
      </c>
      <c r="K2" s="53">
        <f>IF($B$2="TW",Beeinflussung!J4,Beeinflussung!J3)</f>
        <v>15</v>
      </c>
      <c r="L2" s="53">
        <f>IF($B$2="TW",Beeinflussung!K4,Beeinflussung!K3)</f>
        <v>25</v>
      </c>
      <c r="M2" s="53">
        <f>IF($B$2="TW",Beeinflussung!L4,Beeinflussung!L3)</f>
        <v>20</v>
      </c>
      <c r="N2" s="53">
        <f>IF($B$2="TW",Beeinflussung!M4,Beeinflussung!M3)</f>
        <v>20</v>
      </c>
      <c r="O2" s="53">
        <f>IF($B$2="TW",Beeinflussung!N4,Beeinflussung!N3)</f>
        <v>20</v>
      </c>
      <c r="P2" s="53">
        <f>IF($B$2="TW",Beeinflussung!O4,Beeinflussung!O3)</f>
        <v>25</v>
      </c>
      <c r="Q2" s="53">
        <f>IF($B$2="TW",Beeinflussung!P4,Beeinflussung!P3)</f>
        <v>25</v>
      </c>
      <c r="R2" s="53">
        <f>IF($B$2="TW",Beeinflussung!Q4,Beeinflussung!Q3)</f>
        <v>20</v>
      </c>
      <c r="S2" s="53">
        <f>IF($B$2="TW",Beeinflussung!R4,Beeinflussung!R3)</f>
        <v>15</v>
      </c>
      <c r="T2" s="53">
        <f>IF($B$2="TW",Beeinflussung!S4,Beeinflussung!S3)</f>
        <v>15</v>
      </c>
      <c r="U2" s="53">
        <f>IF($B$2="TW",Beeinflussung!T4,Beeinflussung!T3)</f>
        <v>15</v>
      </c>
      <c r="V2" s="53">
        <f>IF($B$2="TW",Beeinflussung!U4,Beeinflussung!U3)</f>
        <v>15</v>
      </c>
      <c r="W2" s="53">
        <f>IF($B$2="TW",Beeinflussung!V4,Beeinflussung!V3)</f>
        <v>15</v>
      </c>
      <c r="X2" s="53">
        <f>IF($B$2="TW",Beeinflussung!W4,Beeinflussung!W3)</f>
        <v>20</v>
      </c>
      <c r="Y2" s="53">
        <f>IF($B$2="TW",Beeinflussung!X4,Beeinflussung!X3)</f>
        <v>35</v>
      </c>
      <c r="Z2" s="53">
        <f>IF($B$2="TW",Beeinflussung!Y4,Beeinflussung!Y3)</f>
        <v>10</v>
      </c>
      <c r="AA2" s="54">
        <f>IF($B$2="TW",Beeinflussung!Z4,Beeinflussung!Z3)</f>
        <v>20</v>
      </c>
    </row>
    <row r="3" spans="1:27" ht="15.75" thickBot="1" x14ac:dyDescent="0.3">
      <c r="A3" s="55" t="s">
        <v>96</v>
      </c>
      <c r="B3" s="56">
        <v>1</v>
      </c>
      <c r="C3" s="57">
        <f>$B$3*Beeinflussung!B2</f>
        <v>1</v>
      </c>
      <c r="D3" s="58">
        <f>$B$3*Beeinflussung!$C2</f>
        <v>1</v>
      </c>
      <c r="E3" s="58">
        <f>$B$3*Beeinflussung!$D2</f>
        <v>1</v>
      </c>
      <c r="F3" s="58">
        <f>$B$3*Beeinflussung!$E2</f>
        <v>0</v>
      </c>
      <c r="G3" s="58">
        <f>$B$3*Beeinflussung!$F2</f>
        <v>1</v>
      </c>
      <c r="H3" s="58">
        <f>$B$3*Beeinflussung!$G2</f>
        <v>2</v>
      </c>
      <c r="I3" s="58">
        <f>$B$3*Beeinflussung!$H2</f>
        <v>2</v>
      </c>
      <c r="J3" s="58">
        <f>$B$3*Beeinflussung!$I2</f>
        <v>1</v>
      </c>
      <c r="K3" s="58">
        <f>$B$3*Beeinflussung!$J2</f>
        <v>2</v>
      </c>
      <c r="L3" s="58">
        <f>$B$3*Beeinflussung!$K2</f>
        <v>2</v>
      </c>
      <c r="M3" s="58">
        <f>$B$3*Beeinflussung!$L2</f>
        <v>2</v>
      </c>
      <c r="N3" s="58">
        <f>$B$3*Beeinflussung!$M2</f>
        <v>2</v>
      </c>
      <c r="O3" s="58">
        <f>$B$3*Beeinflussung!$N2</f>
        <v>2</v>
      </c>
      <c r="P3" s="58">
        <f>$B$3*Beeinflussung!$O2</f>
        <v>2</v>
      </c>
      <c r="Q3" s="58">
        <f>$B$3*Beeinflussung!$P2</f>
        <v>2</v>
      </c>
      <c r="R3" s="58">
        <f>$B$3*Beeinflussung!$Q2</f>
        <v>2</v>
      </c>
      <c r="S3" s="58">
        <f>$B$3*Beeinflussung!$R2</f>
        <v>1</v>
      </c>
      <c r="T3" s="58">
        <f>$B$3*Beeinflussung!$S2</f>
        <v>2</v>
      </c>
      <c r="U3" s="58">
        <f>$B$3*Beeinflussung!$T2</f>
        <v>2</v>
      </c>
      <c r="V3" s="58">
        <f>$B$3*Beeinflussung!$U2</f>
        <v>2</v>
      </c>
      <c r="W3" s="58">
        <f>$B$3*Beeinflussung!$V2</f>
        <v>1</v>
      </c>
      <c r="X3" s="58">
        <f>$B$3*Beeinflussung!$W2</f>
        <v>1</v>
      </c>
      <c r="Y3" s="58">
        <f>$B$3*Beeinflussung!$X2</f>
        <v>1</v>
      </c>
      <c r="Z3" s="58">
        <f>$B$3*Beeinflussung!$Y2</f>
        <v>1</v>
      </c>
      <c r="AA3" s="59">
        <f>$B$3*Beeinflussung!$Z2</f>
        <v>1</v>
      </c>
    </row>
    <row r="4" spans="1:27" ht="15.75" thickBot="1" x14ac:dyDescent="0.3">
      <c r="A4" s="55" t="s">
        <v>159</v>
      </c>
      <c r="B4" s="60">
        <v>10</v>
      </c>
      <c r="C4" s="57">
        <f>C3/$B$3/10*$B$4</f>
        <v>1</v>
      </c>
      <c r="D4" s="58">
        <f t="shared" ref="D4:AA4" si="0">D3/$B$3/10*$B$4</f>
        <v>1</v>
      </c>
      <c r="E4" s="58">
        <f t="shared" si="0"/>
        <v>1</v>
      </c>
      <c r="F4" s="58">
        <f t="shared" si="0"/>
        <v>0</v>
      </c>
      <c r="G4" s="58">
        <f t="shared" si="0"/>
        <v>1</v>
      </c>
      <c r="H4" s="58">
        <f t="shared" si="0"/>
        <v>2</v>
      </c>
      <c r="I4" s="58">
        <f t="shared" si="0"/>
        <v>2</v>
      </c>
      <c r="J4" s="58">
        <f t="shared" si="0"/>
        <v>1</v>
      </c>
      <c r="K4" s="58">
        <f t="shared" si="0"/>
        <v>2</v>
      </c>
      <c r="L4" s="58">
        <f t="shared" si="0"/>
        <v>2</v>
      </c>
      <c r="M4" s="58">
        <f t="shared" si="0"/>
        <v>2</v>
      </c>
      <c r="N4" s="58">
        <f t="shared" si="0"/>
        <v>2</v>
      </c>
      <c r="O4" s="58">
        <f t="shared" si="0"/>
        <v>2</v>
      </c>
      <c r="P4" s="58">
        <f t="shared" si="0"/>
        <v>2</v>
      </c>
      <c r="Q4" s="58">
        <f t="shared" si="0"/>
        <v>2</v>
      </c>
      <c r="R4" s="58">
        <f t="shared" si="0"/>
        <v>2</v>
      </c>
      <c r="S4" s="58">
        <f t="shared" si="0"/>
        <v>1</v>
      </c>
      <c r="T4" s="58">
        <f t="shared" si="0"/>
        <v>2</v>
      </c>
      <c r="U4" s="58">
        <f t="shared" si="0"/>
        <v>2</v>
      </c>
      <c r="V4" s="58">
        <f t="shared" si="0"/>
        <v>2</v>
      </c>
      <c r="W4" s="58">
        <f t="shared" si="0"/>
        <v>1</v>
      </c>
      <c r="X4" s="58">
        <f t="shared" si="0"/>
        <v>1</v>
      </c>
      <c r="Y4" s="58">
        <f t="shared" si="0"/>
        <v>1</v>
      </c>
      <c r="Z4" s="58">
        <f t="shared" si="0"/>
        <v>1</v>
      </c>
      <c r="AA4" s="59">
        <f t="shared" si="0"/>
        <v>1</v>
      </c>
    </row>
    <row r="5" spans="1:27" ht="15.75" thickBot="1" x14ac:dyDescent="0.3">
      <c r="A5" s="55" t="s">
        <v>158</v>
      </c>
      <c r="B5" s="60">
        <v>100</v>
      </c>
      <c r="C5" s="57">
        <f>IF($B$5&lt;111,C3/100*$B$5,C3/100*(110-($B$5-110)))</f>
        <v>1</v>
      </c>
      <c r="D5" s="58">
        <f t="shared" ref="D5:AA5" si="1">IF($B$5&lt;111,D3/100*$B$5,D3/100*(110-($B$5-110)))</f>
        <v>1</v>
      </c>
      <c r="E5" s="58">
        <f t="shared" si="1"/>
        <v>1</v>
      </c>
      <c r="F5" s="58">
        <f t="shared" si="1"/>
        <v>0</v>
      </c>
      <c r="G5" s="58">
        <f t="shared" si="1"/>
        <v>1</v>
      </c>
      <c r="H5" s="58">
        <f t="shared" si="1"/>
        <v>2</v>
      </c>
      <c r="I5" s="58">
        <f t="shared" si="1"/>
        <v>2</v>
      </c>
      <c r="J5" s="58">
        <f t="shared" si="1"/>
        <v>1</v>
      </c>
      <c r="K5" s="58">
        <f t="shared" si="1"/>
        <v>2</v>
      </c>
      <c r="L5" s="58">
        <f t="shared" si="1"/>
        <v>2</v>
      </c>
      <c r="M5" s="58">
        <f t="shared" si="1"/>
        <v>2</v>
      </c>
      <c r="N5" s="58">
        <f t="shared" si="1"/>
        <v>2</v>
      </c>
      <c r="O5" s="58">
        <f t="shared" si="1"/>
        <v>2</v>
      </c>
      <c r="P5" s="58">
        <f t="shared" si="1"/>
        <v>2</v>
      </c>
      <c r="Q5" s="58">
        <f t="shared" si="1"/>
        <v>2</v>
      </c>
      <c r="R5" s="58">
        <f t="shared" si="1"/>
        <v>2</v>
      </c>
      <c r="S5" s="58">
        <f t="shared" si="1"/>
        <v>1</v>
      </c>
      <c r="T5" s="58">
        <f t="shared" si="1"/>
        <v>2</v>
      </c>
      <c r="U5" s="58">
        <f t="shared" si="1"/>
        <v>2</v>
      </c>
      <c r="V5" s="58">
        <f t="shared" si="1"/>
        <v>2</v>
      </c>
      <c r="W5" s="58">
        <f t="shared" si="1"/>
        <v>1</v>
      </c>
      <c r="X5" s="58">
        <f t="shared" si="1"/>
        <v>1</v>
      </c>
      <c r="Y5" s="58">
        <f t="shared" si="1"/>
        <v>1</v>
      </c>
      <c r="Z5" s="58">
        <f t="shared" si="1"/>
        <v>1</v>
      </c>
      <c r="AA5" s="59">
        <f t="shared" si="1"/>
        <v>1</v>
      </c>
    </row>
    <row r="6" spans="1:27" ht="15.75" thickBot="1" x14ac:dyDescent="0.3">
      <c r="A6" s="61" t="s">
        <v>157</v>
      </c>
      <c r="B6" s="62">
        <f>IF($B$5&lt;111,(B3-1+(B4/10))/100*$B$5,(B3-1+(B4/10)/100*(110-($B$5-110))))</f>
        <v>1</v>
      </c>
      <c r="C6" s="63">
        <f>C2+C4+C5</f>
        <v>17</v>
      </c>
      <c r="D6" s="64">
        <f>D2+D4+D5</f>
        <v>17</v>
      </c>
      <c r="E6" s="64">
        <f t="shared" ref="E6:AA6" si="2">E2+E4+E5</f>
        <v>17</v>
      </c>
      <c r="F6" s="64">
        <f t="shared" si="2"/>
        <v>15</v>
      </c>
      <c r="G6" s="64">
        <f t="shared" si="2"/>
        <v>17</v>
      </c>
      <c r="H6" s="64">
        <f t="shared" si="2"/>
        <v>19</v>
      </c>
      <c r="I6" s="64">
        <f t="shared" si="2"/>
        <v>19</v>
      </c>
      <c r="J6" s="64">
        <f t="shared" si="2"/>
        <v>17</v>
      </c>
      <c r="K6" s="64">
        <f t="shared" si="2"/>
        <v>19</v>
      </c>
      <c r="L6" s="64">
        <f t="shared" si="2"/>
        <v>29</v>
      </c>
      <c r="M6" s="64">
        <f t="shared" si="2"/>
        <v>24</v>
      </c>
      <c r="N6" s="64">
        <f t="shared" si="2"/>
        <v>24</v>
      </c>
      <c r="O6" s="64">
        <f t="shared" si="2"/>
        <v>24</v>
      </c>
      <c r="P6" s="64">
        <f>P2+P4+P5</f>
        <v>29</v>
      </c>
      <c r="Q6" s="64">
        <f t="shared" si="2"/>
        <v>29</v>
      </c>
      <c r="R6" s="64">
        <f t="shared" si="2"/>
        <v>24</v>
      </c>
      <c r="S6" s="64">
        <f t="shared" si="2"/>
        <v>17</v>
      </c>
      <c r="T6" s="64">
        <f t="shared" si="2"/>
        <v>19</v>
      </c>
      <c r="U6" s="64">
        <f t="shared" si="2"/>
        <v>19</v>
      </c>
      <c r="V6" s="64">
        <f t="shared" si="2"/>
        <v>19</v>
      </c>
      <c r="W6" s="64">
        <f t="shared" si="2"/>
        <v>17</v>
      </c>
      <c r="X6" s="64">
        <f t="shared" si="2"/>
        <v>22</v>
      </c>
      <c r="Y6" s="64">
        <f t="shared" si="2"/>
        <v>37</v>
      </c>
      <c r="Z6" s="64">
        <f>Z2+Z4+Z5</f>
        <v>12</v>
      </c>
      <c r="AA6" s="65">
        <f t="shared" si="2"/>
        <v>22</v>
      </c>
    </row>
    <row r="7" spans="1:27" ht="15.75" thickBot="1" x14ac:dyDescent="0.3">
      <c r="A7" s="66" t="s">
        <v>107</v>
      </c>
      <c r="B7" s="67" t="s">
        <v>109</v>
      </c>
      <c r="C7" s="68">
        <f>VLOOKUP(CONCATENATE("Größe: ",$B$7),Beeinflussung!$A$9:$Z$13,2,FALSE)</f>
        <v>0</v>
      </c>
      <c r="D7" s="69">
        <f>VLOOKUP(CONCATENATE("Größe: ",$B$7),Beeinflussung!$A$9:$Z$13,3,FALSE)</f>
        <v>0</v>
      </c>
      <c r="E7" s="69">
        <f>VLOOKUP(CONCATENATE("Größe: ",$B$7),Beeinflussung!$A$9:$Z$13,4,FALSE)</f>
        <v>0</v>
      </c>
      <c r="F7" s="69">
        <f>VLOOKUP(CONCATENATE("Größe: ",$B$7),Beeinflussung!$A$9:$Z$13,5,FALSE)</f>
        <v>15</v>
      </c>
      <c r="G7" s="69">
        <f>VLOOKUP(CONCATENATE("Größe: ",$B$7),Beeinflussung!$A$9:$Z$13,6,FALSE)</f>
        <v>0</v>
      </c>
      <c r="H7" s="69">
        <f>VLOOKUP(CONCATENATE("Größe: ",$B$7),Beeinflussung!$A$9:$Z$13,7,FALSE)</f>
        <v>0</v>
      </c>
      <c r="I7" s="69">
        <f>VLOOKUP(CONCATENATE("Größe: ",$B$7),Beeinflussung!$A$9:$Z$13,8,FALSE)</f>
        <v>0</v>
      </c>
      <c r="J7" s="69">
        <f>VLOOKUP(CONCATENATE("Größe: ",$B$7),Beeinflussung!$A$9:$Z$13,9,FALSE)</f>
        <v>15</v>
      </c>
      <c r="K7" s="69">
        <f>VLOOKUP(CONCATENATE("Größe: ",$B$7),Beeinflussung!$A$9:$Z$13,10,FALSE)</f>
        <v>0</v>
      </c>
      <c r="L7" s="69">
        <f>VLOOKUP(CONCATENATE("Größe: ",$B$7),Beeinflussung!$A$9:$Z$13,11,FALSE)</f>
        <v>0</v>
      </c>
      <c r="M7" s="69">
        <f>VLOOKUP(CONCATENATE("Größe: ",$B$7),Beeinflussung!$A$9:$Z$13,12,FALSE)</f>
        <v>0</v>
      </c>
      <c r="N7" s="69">
        <f>VLOOKUP(CONCATENATE("Größe: ",$B$7),Beeinflussung!$A$9:$Z$13,13,FALSE)</f>
        <v>0</v>
      </c>
      <c r="O7" s="69">
        <f>VLOOKUP(CONCATENATE("Größe: ",$B$7),Beeinflussung!$A$9:$Z$13,14,FALSE)</f>
        <v>0</v>
      </c>
      <c r="P7" s="69">
        <f>VLOOKUP(CONCATENATE("Größe: ",$B$7),Beeinflussung!$A$9:$Z$13,15,FALSE)</f>
        <v>0</v>
      </c>
      <c r="Q7" s="69">
        <f>VLOOKUP(CONCATENATE("Größe: ",$B$7),Beeinflussung!$A$9:$Z$13,16,FALSE)</f>
        <v>0</v>
      </c>
      <c r="R7" s="69">
        <f>VLOOKUP(CONCATENATE("Größe: ",$B$7),Beeinflussung!$A$9:$Z$13,17,FALSE)</f>
        <v>0</v>
      </c>
      <c r="S7" s="69">
        <f>VLOOKUP(CONCATENATE("Größe: ",$B$7),Beeinflussung!$A$9:$Z$13,18,FALSE)</f>
        <v>0</v>
      </c>
      <c r="T7" s="69">
        <f>VLOOKUP(CONCATENATE("Größe: ",$B$7),Beeinflussung!$A$9:$Z$13,19,FALSE)</f>
        <v>0</v>
      </c>
      <c r="U7" s="69">
        <f>VLOOKUP(CONCATENATE("Größe: ",$B$7),Beeinflussung!$A$9:$Z$13,20,FALSE)</f>
        <v>0</v>
      </c>
      <c r="V7" s="69">
        <f>VLOOKUP(CONCATENATE("Größe: ",$B$7),Beeinflussung!$A$9:$Z$13,21,FALSE)</f>
        <v>0</v>
      </c>
      <c r="W7" s="69">
        <f>VLOOKUP(CONCATENATE("Größe: ",$B$7),Beeinflussung!$A$9:$Z$13,22,FALSE)</f>
        <v>0</v>
      </c>
      <c r="X7" s="69">
        <f>VLOOKUP(CONCATENATE("Größe: ",$B$7),Beeinflussung!$A$9:$Z$13,23,FALSE)</f>
        <v>0</v>
      </c>
      <c r="Y7" s="69">
        <f>VLOOKUP(CONCATENATE("Größe: ",$B$7),Beeinflussung!$A$9:$Z$13,24,FALSE)</f>
        <v>0</v>
      </c>
      <c r="Z7" s="69">
        <f>VLOOKUP(CONCATENATE("Größe: ",$B$7),Beeinflussung!$A$9:$Z$13,25,FALSE)</f>
        <v>0</v>
      </c>
      <c r="AA7" s="70">
        <f>VLOOKUP(CONCATENATE("Größe: ",$B$7),Beeinflussung!$A$9:$Z$13,26,FALSE)</f>
        <v>0</v>
      </c>
    </row>
    <row r="8" spans="1:27" ht="15.75" thickBot="1" x14ac:dyDescent="0.3">
      <c r="A8" s="66" t="s">
        <v>97</v>
      </c>
      <c r="B8" s="67" t="s">
        <v>109</v>
      </c>
      <c r="C8" s="71">
        <f>VLOOKUP(CONCATENATE("Statur: ",$B$8),Beeinflussung!$A$5:$Z$8,2,FALSE)</f>
        <v>20</v>
      </c>
      <c r="D8" s="72">
        <f>VLOOKUP(CONCATENATE("Statur: ",$B$8),Beeinflussung!$A$5:$Z$8,3,FALSE)</f>
        <v>20</v>
      </c>
      <c r="E8" s="72">
        <f>VLOOKUP(CONCATENATE("Statur: ",$B$8),Beeinflussung!$A$5:$Z$8,4,FALSE)</f>
        <v>20</v>
      </c>
      <c r="F8" s="72">
        <f>VLOOKUP(CONCATENATE("Statur: ",$B$8),Beeinflussung!$A$5:$Z$8,5,FALSE)</f>
        <v>20</v>
      </c>
      <c r="G8" s="72">
        <f>VLOOKUP(CONCATENATE("Statur: ",$B$8),Beeinflussung!$A$5:$Z$8,6,FALSE)</f>
        <v>0</v>
      </c>
      <c r="H8" s="72">
        <f>VLOOKUP(CONCATENATE("Statur: ",$B$8),Beeinflussung!$A$5:$Z$8,7,FALSE)</f>
        <v>0</v>
      </c>
      <c r="I8" s="72">
        <f>VLOOKUP(CONCATENATE("Statur: ",$B$8),Beeinflussung!$A$5:$Z$8,8,FALSE)</f>
        <v>0</v>
      </c>
      <c r="J8" s="72">
        <f>VLOOKUP(CONCATENATE("Statur: ",$B$8),Beeinflussung!$A$5:$Z$8,9,FALSE)</f>
        <v>0</v>
      </c>
      <c r="K8" s="72">
        <f>VLOOKUP(CONCATENATE("Statur: ",$B$8),Beeinflussung!$A$5:$Z$8,10,FALSE)</f>
        <v>0</v>
      </c>
      <c r="L8" s="72">
        <f>VLOOKUP(CONCATENATE("Statur: ",$B$8),Beeinflussung!$A$5:$Z$8,11,FALSE)</f>
        <v>0</v>
      </c>
      <c r="M8" s="72">
        <f>VLOOKUP(CONCATENATE("Statur: ",$B$8),Beeinflussung!$A$5:$Z$8,12,FALSE)</f>
        <v>0</v>
      </c>
      <c r="N8" s="72">
        <f>VLOOKUP(CONCATENATE("Statur: ",$B$8),Beeinflussung!$A$5:$Z$8,13,FALSE)</f>
        <v>0</v>
      </c>
      <c r="O8" s="72">
        <f>VLOOKUP(CONCATENATE("Statur: ",$B$8),Beeinflussung!$A$5:$Z$8,14,FALSE)</f>
        <v>0</v>
      </c>
      <c r="P8" s="72">
        <f>VLOOKUP(CONCATENATE("Statur: ",$B$8),Beeinflussung!$A$5:$Z$8,15,FALSE)</f>
        <v>0</v>
      </c>
      <c r="Q8" s="72">
        <f>VLOOKUP(CONCATENATE("Statur: ",$B$8),Beeinflussung!$A$5:$Z$8,16,FALSE)</f>
        <v>0</v>
      </c>
      <c r="R8" s="72">
        <f>VLOOKUP(CONCATENATE("Statur: ",$B$8),Beeinflussung!$A$5:$Z$8,17,FALSE)</f>
        <v>0</v>
      </c>
      <c r="S8" s="72">
        <f>VLOOKUP(CONCATENATE("Statur: ",$B$8),Beeinflussung!$A$5:$Z$8,18,FALSE)</f>
        <v>20</v>
      </c>
      <c r="T8" s="72">
        <f>VLOOKUP(CONCATENATE("Statur: ",$B$8),Beeinflussung!$A$5:$Z$8,19,FALSE)</f>
        <v>0</v>
      </c>
      <c r="U8" s="72">
        <f>VLOOKUP(CONCATENATE("Statur: ",$B$8),Beeinflussung!$A$5:$Z$8,20,FALSE)</f>
        <v>0</v>
      </c>
      <c r="V8" s="72">
        <f>VLOOKUP(CONCATENATE("Statur: ",$B$8),Beeinflussung!$A$5:$Z$8,21,FALSE)</f>
        <v>0</v>
      </c>
      <c r="W8" s="72">
        <f>VLOOKUP(CONCATENATE("Statur: ",$B$8),Beeinflussung!$A$5:$Z$8,22,FALSE)</f>
        <v>0</v>
      </c>
      <c r="X8" s="72">
        <f>VLOOKUP(CONCATENATE("Statur: ",$B$8),Beeinflussung!$A$5:$Z$8,23,FALSE)</f>
        <v>0</v>
      </c>
      <c r="Y8" s="72">
        <f>VLOOKUP(CONCATENATE("Statur: ",$B$8),Beeinflussung!$A$5:$Z$8,24,FALSE)</f>
        <v>0</v>
      </c>
      <c r="Z8" s="72">
        <f>VLOOKUP(CONCATENATE("Statur: ",$B$8),Beeinflussung!$A$5:$Z$8,25,FALSE)</f>
        <v>0</v>
      </c>
      <c r="AA8" s="73">
        <f>VLOOKUP(CONCATENATE("Statur: ",$B$8),Beeinflussung!$A$5:$Z$8,26,FALSE)</f>
        <v>0</v>
      </c>
    </row>
    <row r="9" spans="1:27" ht="15.75" thickBot="1" x14ac:dyDescent="0.3">
      <c r="A9" s="66" t="s">
        <v>140</v>
      </c>
      <c r="B9" s="67">
        <v>16</v>
      </c>
      <c r="C9" s="71">
        <f>VLOOKUP(CONCATENATE("Alter: ",$B$9),Beeinflussung!$A$14:$Z$43,2,FALSE)</f>
        <v>16</v>
      </c>
      <c r="D9" s="72">
        <f>VLOOKUP(CONCATENATE("Alter: ",$B$9),Beeinflussung!$A$14:$Z$43,3,FALSE)</f>
        <v>16</v>
      </c>
      <c r="E9" s="72">
        <f>VLOOKUP(CONCATENATE("Alter: ",$B$9),Beeinflussung!$A$14:$Z$43,4,FALSE)</f>
        <v>8</v>
      </c>
      <c r="F9" s="72">
        <f>VLOOKUP(CONCATENATE("Alter: ",$B$9),Beeinflussung!$A$14:$Z$43,5,FALSE)</f>
        <v>16</v>
      </c>
      <c r="G9" s="72">
        <f>VLOOKUP(CONCATENATE("Alter: ",$B$9),Beeinflussung!$A$14:$Z$43,6,FALSE)</f>
        <v>40</v>
      </c>
      <c r="H9" s="72">
        <f>VLOOKUP(CONCATENATE("Alter: ",$B$9),Beeinflussung!$A$14:$Z$43,7,FALSE)</f>
        <v>0</v>
      </c>
      <c r="I9" s="72">
        <f>VLOOKUP(CONCATENATE("Alter: ",$B$9),Beeinflussung!$A$14:$Z$43,8,FALSE)</f>
        <v>0</v>
      </c>
      <c r="J9" s="72">
        <f>VLOOKUP(CONCATENATE("Alter: ",$B$9),Beeinflussung!$A$14:$Z$43,9,FALSE)</f>
        <v>0</v>
      </c>
      <c r="K9" s="72">
        <f>VLOOKUP(CONCATENATE("Alter: ",$B$9),Beeinflussung!$A$14:$Z$43,10,FALSE)</f>
        <v>0</v>
      </c>
      <c r="L9" s="72">
        <f>VLOOKUP(CONCATENATE("Alter: ",$B$9),Beeinflussung!$A$14:$Z$43,11,FALSE)</f>
        <v>0</v>
      </c>
      <c r="M9" s="72">
        <f>VLOOKUP(CONCATENATE("Alter: ",$B$9),Beeinflussung!$A$14:$Z$43,12,FALSE)</f>
        <v>0</v>
      </c>
      <c r="N9" s="72">
        <f>VLOOKUP(CONCATENATE("Alter: ",$B$9),Beeinflussung!$A$14:$Z$43,13,FALSE)</f>
        <v>0</v>
      </c>
      <c r="O9" s="72">
        <f>VLOOKUP(CONCATENATE("Alter: ",$B$9),Beeinflussung!$A$14:$Z$43,14,FALSE)</f>
        <v>0</v>
      </c>
      <c r="P9" s="72">
        <f>VLOOKUP(CONCATENATE("Alter: ",$B$9),Beeinflussung!$A$14:$Z$43,15,FALSE)</f>
        <v>0</v>
      </c>
      <c r="Q9" s="72">
        <f>VLOOKUP(CONCATENATE("Alter: ",$B$9),Beeinflussung!$A$14:$Z$43,16,FALSE)</f>
        <v>0</v>
      </c>
      <c r="R9" s="72">
        <f>VLOOKUP(CONCATENATE("Alter: ",$B$9),Beeinflussung!$A$14:$Z$43,17,FALSE)</f>
        <v>0</v>
      </c>
      <c r="S9" s="72">
        <f>VLOOKUP(CONCATENATE("Alter: ",$B$9),Beeinflussung!$A$14:$Z$43,18,FALSE)</f>
        <v>0</v>
      </c>
      <c r="T9" s="72">
        <f>VLOOKUP(CONCATENATE("Alter: ",$B$9),Beeinflussung!$A$14:$Z$43,19,FALSE)</f>
        <v>0</v>
      </c>
      <c r="U9" s="72">
        <f>VLOOKUP(CONCATENATE("Alter: ",$B$9),Beeinflussung!$A$14:$Z$43,20,FALSE)</f>
        <v>0</v>
      </c>
      <c r="V9" s="72">
        <f>VLOOKUP(CONCATENATE("Alter: ",$B$9),Beeinflussung!$A$14:$Z$43,21,FALSE)</f>
        <v>0</v>
      </c>
      <c r="W9" s="72">
        <f>VLOOKUP(CONCATENATE("Alter: ",$B$9),Beeinflussung!$A$14:$Z$43,22,FALSE)</f>
        <v>20</v>
      </c>
      <c r="X9" s="72">
        <f>VLOOKUP(CONCATENATE("Alter: ",$B$9),Beeinflussung!$A$14:$Z$43,23,FALSE)</f>
        <v>0</v>
      </c>
      <c r="Y9" s="72">
        <f>VLOOKUP(CONCATENATE("Alter: ",$B$9),Beeinflussung!$A$14:$Z$43,24,FALSE)</f>
        <v>0</v>
      </c>
      <c r="Z9" s="72">
        <f>VLOOKUP(CONCATENATE("Alter: ",$B$9),Beeinflussung!$A$14:$Z$43,25,FALSE)</f>
        <v>0</v>
      </c>
      <c r="AA9" s="73">
        <f>VLOOKUP(CONCATENATE("Alter: ",$B$9),Beeinflussung!$A$14:$Z$43,26,FALSE)</f>
        <v>16</v>
      </c>
    </row>
    <row r="10" spans="1:27" ht="15.75" thickBot="1" x14ac:dyDescent="0.3">
      <c r="A10" s="118" t="s">
        <v>160</v>
      </c>
      <c r="B10" s="119"/>
      <c r="C10" s="97">
        <f>C7+C8+C9</f>
        <v>36</v>
      </c>
      <c r="D10" s="98">
        <f t="shared" ref="D10:AA10" si="3">D7+D8+D9</f>
        <v>36</v>
      </c>
      <c r="E10" s="98">
        <f t="shared" si="3"/>
        <v>28</v>
      </c>
      <c r="F10" s="98">
        <f t="shared" si="3"/>
        <v>51</v>
      </c>
      <c r="G10" s="98">
        <f t="shared" si="3"/>
        <v>40</v>
      </c>
      <c r="H10" s="98">
        <f t="shared" si="3"/>
        <v>0</v>
      </c>
      <c r="I10" s="98">
        <f t="shared" si="3"/>
        <v>0</v>
      </c>
      <c r="J10" s="98">
        <f t="shared" si="3"/>
        <v>15</v>
      </c>
      <c r="K10" s="98">
        <f t="shared" si="3"/>
        <v>0</v>
      </c>
      <c r="L10" s="98">
        <f t="shared" si="3"/>
        <v>0</v>
      </c>
      <c r="M10" s="98">
        <f t="shared" si="3"/>
        <v>0</v>
      </c>
      <c r="N10" s="98">
        <f t="shared" si="3"/>
        <v>0</v>
      </c>
      <c r="O10" s="98">
        <f t="shared" si="3"/>
        <v>0</v>
      </c>
      <c r="P10" s="98">
        <f t="shared" si="3"/>
        <v>0</v>
      </c>
      <c r="Q10" s="98">
        <f t="shared" si="3"/>
        <v>0</v>
      </c>
      <c r="R10" s="98">
        <f t="shared" si="3"/>
        <v>0</v>
      </c>
      <c r="S10" s="98">
        <f t="shared" si="3"/>
        <v>20</v>
      </c>
      <c r="T10" s="98">
        <f t="shared" si="3"/>
        <v>0</v>
      </c>
      <c r="U10" s="98">
        <f t="shared" si="3"/>
        <v>0</v>
      </c>
      <c r="V10" s="98">
        <f t="shared" si="3"/>
        <v>0</v>
      </c>
      <c r="W10" s="98">
        <f t="shared" si="3"/>
        <v>20</v>
      </c>
      <c r="X10" s="98">
        <f t="shared" si="3"/>
        <v>0</v>
      </c>
      <c r="Y10" s="98">
        <f t="shared" si="3"/>
        <v>0</v>
      </c>
      <c r="Z10" s="98">
        <f t="shared" si="3"/>
        <v>0</v>
      </c>
      <c r="AA10" s="99">
        <f t="shared" si="3"/>
        <v>16</v>
      </c>
    </row>
    <row r="11" spans="1:27" ht="15.75" thickBot="1" x14ac:dyDescent="0.3">
      <c r="A11" s="102" t="s">
        <v>161</v>
      </c>
      <c r="B11" s="103">
        <f>B6</f>
        <v>1</v>
      </c>
      <c r="C11" s="87">
        <f>C6+C10</f>
        <v>53</v>
      </c>
      <c r="D11" s="88">
        <f t="shared" ref="D11:AA11" si="4">D6+D10</f>
        <v>53</v>
      </c>
      <c r="E11" s="88">
        <f t="shared" si="4"/>
        <v>45</v>
      </c>
      <c r="F11" s="88">
        <f t="shared" si="4"/>
        <v>66</v>
      </c>
      <c r="G11" s="88">
        <f t="shared" si="4"/>
        <v>57</v>
      </c>
      <c r="H11" s="88">
        <f t="shared" si="4"/>
        <v>19</v>
      </c>
      <c r="I11" s="88">
        <f t="shared" si="4"/>
        <v>19</v>
      </c>
      <c r="J11" s="88">
        <f t="shared" si="4"/>
        <v>32</v>
      </c>
      <c r="K11" s="88">
        <f t="shared" si="4"/>
        <v>19</v>
      </c>
      <c r="L11" s="88">
        <f t="shared" si="4"/>
        <v>29</v>
      </c>
      <c r="M11" s="88">
        <f t="shared" si="4"/>
        <v>24</v>
      </c>
      <c r="N11" s="88">
        <f t="shared" si="4"/>
        <v>24</v>
      </c>
      <c r="O11" s="88">
        <f t="shared" si="4"/>
        <v>24</v>
      </c>
      <c r="P11" s="88">
        <f t="shared" si="4"/>
        <v>29</v>
      </c>
      <c r="Q11" s="88">
        <f t="shared" si="4"/>
        <v>29</v>
      </c>
      <c r="R11" s="88">
        <f t="shared" si="4"/>
        <v>24</v>
      </c>
      <c r="S11" s="88">
        <f t="shared" si="4"/>
        <v>37</v>
      </c>
      <c r="T11" s="88">
        <f t="shared" si="4"/>
        <v>19</v>
      </c>
      <c r="U11" s="88">
        <f t="shared" si="4"/>
        <v>19</v>
      </c>
      <c r="V11" s="88">
        <f t="shared" si="4"/>
        <v>19</v>
      </c>
      <c r="W11" s="88">
        <f t="shared" si="4"/>
        <v>37</v>
      </c>
      <c r="X11" s="88">
        <f t="shared" si="4"/>
        <v>22</v>
      </c>
      <c r="Y11" s="88">
        <f t="shared" si="4"/>
        <v>37</v>
      </c>
      <c r="Z11" s="88">
        <f t="shared" si="4"/>
        <v>12</v>
      </c>
      <c r="AA11" s="89">
        <f t="shared" si="4"/>
        <v>38</v>
      </c>
    </row>
    <row r="12" spans="1:27" ht="15.75" thickBot="1" x14ac:dyDescent="0.3">
      <c r="A12" s="116" t="s">
        <v>147</v>
      </c>
      <c r="B12" s="117"/>
      <c r="C12" s="68">
        <f>VLOOKUP($A12,Beeinflussung!$A$44:$Z$110,2,FALSE)</f>
        <v>0</v>
      </c>
      <c r="D12" s="69">
        <f>VLOOKUP($A12,Beeinflussung!$A$44:$Z$110,3,FALSE)</f>
        <v>0</v>
      </c>
      <c r="E12" s="69">
        <f>VLOOKUP($A12,Beeinflussung!$A$44:$Z$110,4,FALSE)</f>
        <v>0</v>
      </c>
      <c r="F12" s="69">
        <f>VLOOKUP($A12,Beeinflussung!$A$44:$Z$110,5,FALSE)</f>
        <v>0</v>
      </c>
      <c r="G12" s="69">
        <f>VLOOKUP($A12,Beeinflussung!$A$44:$Z$110,6,FALSE)</f>
        <v>0</v>
      </c>
      <c r="H12" s="69">
        <f>VLOOKUP($A12,Beeinflussung!$A$44:$Z$110,7,FALSE)</f>
        <v>0</v>
      </c>
      <c r="I12" s="69">
        <f>VLOOKUP($A12,Beeinflussung!$A$44:$Z$110,8,FALSE)</f>
        <v>0</v>
      </c>
      <c r="J12" s="69">
        <f>VLOOKUP($A12,Beeinflussung!$A$44:$Z$110,9,FALSE)</f>
        <v>0</v>
      </c>
      <c r="K12" s="69">
        <f>VLOOKUP($A12,Beeinflussung!$A$44:$Z$110,10,FALSE)</f>
        <v>0</v>
      </c>
      <c r="L12" s="69">
        <f>VLOOKUP($A12,Beeinflussung!$A$44:$Z$110,11,FALSE)</f>
        <v>0</v>
      </c>
      <c r="M12" s="69">
        <f>VLOOKUP($A12,Beeinflussung!$A$44:$Z$110,12,FALSE)</f>
        <v>0</v>
      </c>
      <c r="N12" s="69">
        <f>VLOOKUP($A12,Beeinflussung!$A$44:$Z$110,13,FALSE)</f>
        <v>0</v>
      </c>
      <c r="O12" s="69">
        <f>VLOOKUP($A12,Beeinflussung!$A$44:$Z$110,14,FALSE)</f>
        <v>0</v>
      </c>
      <c r="P12" s="69">
        <f>VLOOKUP($A12,Beeinflussung!$A$44:$Z$110,15,FALSE)</f>
        <v>0</v>
      </c>
      <c r="Q12" s="69">
        <f>VLOOKUP($A12,Beeinflussung!$A$44:$Z$110,16,FALSE)</f>
        <v>0</v>
      </c>
      <c r="R12" s="69">
        <f>VLOOKUP($A12,Beeinflussung!$A$44:$Z$110,17,FALSE)</f>
        <v>0</v>
      </c>
      <c r="S12" s="69">
        <f>VLOOKUP($A12,Beeinflussung!$A$44:$Z$110,18,FALSE)</f>
        <v>0</v>
      </c>
      <c r="T12" s="69">
        <f>VLOOKUP($A12,Beeinflussung!$A$44:$Z$110,19,FALSE)</f>
        <v>0</v>
      </c>
      <c r="U12" s="69">
        <f>VLOOKUP($A12,Beeinflussung!$A$44:$Z$110,20,FALSE)</f>
        <v>0</v>
      </c>
      <c r="V12" s="69">
        <f>VLOOKUP($A12,Beeinflussung!$A$44:$Z$110,21,FALSE)</f>
        <v>0</v>
      </c>
      <c r="W12" s="69">
        <f>VLOOKUP($A12,Beeinflussung!$A$44:$Z$110,22,FALSE)</f>
        <v>0</v>
      </c>
      <c r="X12" s="69">
        <f>VLOOKUP($A12,Beeinflussung!$A$44:$Z$110,23,FALSE)</f>
        <v>0</v>
      </c>
      <c r="Y12" s="69">
        <f>VLOOKUP($A12,Beeinflussung!$A$44:$Z$110,24,FALSE)</f>
        <v>0</v>
      </c>
      <c r="Z12" s="69">
        <f>VLOOKUP($A12,Beeinflussung!$A$44:$Z$110,25,FALSE)</f>
        <v>0</v>
      </c>
      <c r="AA12" s="70">
        <f>VLOOKUP($A12,Beeinflussung!$A$44:$Z$110,26,FALSE)</f>
        <v>0</v>
      </c>
    </row>
    <row r="13" spans="1:27" ht="15.75" thickBot="1" x14ac:dyDescent="0.3">
      <c r="A13" s="116" t="s">
        <v>147</v>
      </c>
      <c r="B13" s="117"/>
      <c r="C13" s="85">
        <f>VLOOKUP($A13,Beeinflussung!$A$44:$Z$110,2,FALSE)</f>
        <v>0</v>
      </c>
      <c r="D13" s="85">
        <f>VLOOKUP($A13,Beeinflussung!$A$44:$Z$110,3,FALSE)</f>
        <v>0</v>
      </c>
      <c r="E13" s="85">
        <f>VLOOKUP($A13,Beeinflussung!$A$44:$Z$110,4,FALSE)</f>
        <v>0</v>
      </c>
      <c r="F13" s="85">
        <f>VLOOKUP($A13,Beeinflussung!$A$44:$Z$110,5,FALSE)</f>
        <v>0</v>
      </c>
      <c r="G13" s="85">
        <f>VLOOKUP($A13,Beeinflussung!$A$44:$Z$110,6,FALSE)</f>
        <v>0</v>
      </c>
      <c r="H13" s="85">
        <f>VLOOKUP($A13,Beeinflussung!$A$44:$Z$110,7,FALSE)</f>
        <v>0</v>
      </c>
      <c r="I13" s="85">
        <f>VLOOKUP($A13,Beeinflussung!$A$44:$Z$110,8,FALSE)</f>
        <v>0</v>
      </c>
      <c r="J13" s="85">
        <f>VLOOKUP($A13,Beeinflussung!$A$44:$Z$110,9,FALSE)</f>
        <v>0</v>
      </c>
      <c r="K13" s="85">
        <f>VLOOKUP($A13,Beeinflussung!$A$44:$Z$110,10,FALSE)</f>
        <v>0</v>
      </c>
      <c r="L13" s="85">
        <f>VLOOKUP($A13,Beeinflussung!$A$44:$Z$110,11,FALSE)</f>
        <v>0</v>
      </c>
      <c r="M13" s="85">
        <f>VLOOKUP($A13,Beeinflussung!$A$44:$Z$110,12,FALSE)</f>
        <v>0</v>
      </c>
      <c r="N13" s="85">
        <f>VLOOKUP($A13,Beeinflussung!$A$44:$Z$110,13,FALSE)</f>
        <v>0</v>
      </c>
      <c r="O13" s="85">
        <f>VLOOKUP($A13,Beeinflussung!$A$44:$Z$110,14,FALSE)</f>
        <v>0</v>
      </c>
      <c r="P13" s="85">
        <f>VLOOKUP($A13,Beeinflussung!$A$44:$Z$110,15,FALSE)</f>
        <v>0</v>
      </c>
      <c r="Q13" s="85">
        <f>VLOOKUP($A13,Beeinflussung!$A$44:$Z$110,16,FALSE)</f>
        <v>0</v>
      </c>
      <c r="R13" s="85">
        <f>VLOOKUP($A13,Beeinflussung!$A$44:$Z$110,17,FALSE)</f>
        <v>0</v>
      </c>
      <c r="S13" s="85">
        <f>VLOOKUP($A13,Beeinflussung!$A$44:$Z$110,18,FALSE)</f>
        <v>0</v>
      </c>
      <c r="T13" s="85">
        <f>VLOOKUP($A13,Beeinflussung!$A$44:$Z$110,19,FALSE)</f>
        <v>0</v>
      </c>
      <c r="U13" s="85">
        <f>VLOOKUP($A13,Beeinflussung!$A$44:$Z$110,20,FALSE)</f>
        <v>0</v>
      </c>
      <c r="V13" s="85">
        <f>VLOOKUP($A13,Beeinflussung!$A$44:$Z$110,21,FALSE)</f>
        <v>0</v>
      </c>
      <c r="W13" s="85">
        <f>VLOOKUP($A13,Beeinflussung!$A$44:$Z$110,22,FALSE)</f>
        <v>0</v>
      </c>
      <c r="X13" s="85">
        <f>VLOOKUP($A13,Beeinflussung!$A$44:$Z$110,23,FALSE)</f>
        <v>0</v>
      </c>
      <c r="Y13" s="85">
        <f>VLOOKUP($A13,Beeinflussung!$A$44:$Z$110,24,FALSE)</f>
        <v>0</v>
      </c>
      <c r="Z13" s="85">
        <f>VLOOKUP($A13,Beeinflussung!$A$44:$Z$110,25,FALSE)</f>
        <v>0</v>
      </c>
      <c r="AA13" s="86">
        <f>VLOOKUP($A13,Beeinflussung!$A$44:$Z$110,26,FALSE)</f>
        <v>0</v>
      </c>
    </row>
    <row r="14" spans="1:27" ht="15.75" thickBot="1" x14ac:dyDescent="0.3">
      <c r="A14" s="116" t="s">
        <v>147</v>
      </c>
      <c r="B14" s="117"/>
      <c r="C14" s="85">
        <f>VLOOKUP($A14,Beeinflussung!$A$44:$Z$110,2,FALSE)</f>
        <v>0</v>
      </c>
      <c r="D14" s="85">
        <f>VLOOKUP($A14,Beeinflussung!$A$44:$Z$110,3,FALSE)</f>
        <v>0</v>
      </c>
      <c r="E14" s="85">
        <f>VLOOKUP($A14,Beeinflussung!$A$44:$Z$110,4,FALSE)</f>
        <v>0</v>
      </c>
      <c r="F14" s="85">
        <f>VLOOKUP($A14,Beeinflussung!$A$44:$Z$110,5,FALSE)</f>
        <v>0</v>
      </c>
      <c r="G14" s="85">
        <f>VLOOKUP($A14,Beeinflussung!$A$44:$Z$110,6,FALSE)</f>
        <v>0</v>
      </c>
      <c r="H14" s="85">
        <f>VLOOKUP($A14,Beeinflussung!$A$44:$Z$110,7,FALSE)</f>
        <v>0</v>
      </c>
      <c r="I14" s="85">
        <f>VLOOKUP($A14,Beeinflussung!$A$44:$Z$110,8,FALSE)</f>
        <v>0</v>
      </c>
      <c r="J14" s="85">
        <f>VLOOKUP($A14,Beeinflussung!$A$44:$Z$110,9,FALSE)</f>
        <v>0</v>
      </c>
      <c r="K14" s="85">
        <f>VLOOKUP($A14,Beeinflussung!$A$44:$Z$110,10,FALSE)</f>
        <v>0</v>
      </c>
      <c r="L14" s="85">
        <f>VLOOKUP($A14,Beeinflussung!$A$44:$Z$110,11,FALSE)</f>
        <v>0</v>
      </c>
      <c r="M14" s="85">
        <f>VLOOKUP($A14,Beeinflussung!$A$44:$Z$110,12,FALSE)</f>
        <v>0</v>
      </c>
      <c r="N14" s="85">
        <f>VLOOKUP($A14,Beeinflussung!$A$44:$Z$110,13,FALSE)</f>
        <v>0</v>
      </c>
      <c r="O14" s="85">
        <f>VLOOKUP($A14,Beeinflussung!$A$44:$Z$110,14,FALSE)</f>
        <v>0</v>
      </c>
      <c r="P14" s="85">
        <f>VLOOKUP($A14,Beeinflussung!$A$44:$Z$110,15,FALSE)</f>
        <v>0</v>
      </c>
      <c r="Q14" s="85">
        <f>VLOOKUP($A14,Beeinflussung!$A$44:$Z$110,16,FALSE)</f>
        <v>0</v>
      </c>
      <c r="R14" s="85">
        <f>VLOOKUP($A14,Beeinflussung!$A$44:$Z$110,17,FALSE)</f>
        <v>0</v>
      </c>
      <c r="S14" s="85">
        <f>VLOOKUP($A14,Beeinflussung!$A$44:$Z$110,18,FALSE)</f>
        <v>0</v>
      </c>
      <c r="T14" s="85">
        <f>VLOOKUP($A14,Beeinflussung!$A$44:$Z$110,19,FALSE)</f>
        <v>0</v>
      </c>
      <c r="U14" s="85">
        <f>VLOOKUP($A14,Beeinflussung!$A$44:$Z$110,20,FALSE)</f>
        <v>0</v>
      </c>
      <c r="V14" s="85">
        <f>VLOOKUP($A14,Beeinflussung!$A$44:$Z$110,21,FALSE)</f>
        <v>0</v>
      </c>
      <c r="W14" s="85">
        <f>VLOOKUP($A14,Beeinflussung!$A$44:$Z$110,22,FALSE)</f>
        <v>0</v>
      </c>
      <c r="X14" s="85">
        <f>VLOOKUP($A14,Beeinflussung!$A$44:$Z$110,23,FALSE)</f>
        <v>0</v>
      </c>
      <c r="Y14" s="85">
        <f>VLOOKUP($A14,Beeinflussung!$A$44:$Z$110,24,FALSE)</f>
        <v>0</v>
      </c>
      <c r="Z14" s="85">
        <f>VLOOKUP($A14,Beeinflussung!$A$44:$Z$110,25,FALSE)</f>
        <v>0</v>
      </c>
      <c r="AA14" s="86">
        <f>VLOOKUP($A14,Beeinflussung!$A$44:$Z$110,26,FALSE)</f>
        <v>0</v>
      </c>
    </row>
    <row r="15" spans="1:27" ht="15.75" thickBot="1" x14ac:dyDescent="0.3">
      <c r="A15" s="118" t="s">
        <v>242</v>
      </c>
      <c r="B15" s="122"/>
      <c r="C15" s="63">
        <f>SUM(C12:C14)</f>
        <v>0</v>
      </c>
      <c r="D15" s="64">
        <f t="shared" ref="D15:AA15" si="5">SUM(D12:D14)</f>
        <v>0</v>
      </c>
      <c r="E15" s="64">
        <f t="shared" si="5"/>
        <v>0</v>
      </c>
      <c r="F15" s="64">
        <f t="shared" si="5"/>
        <v>0</v>
      </c>
      <c r="G15" s="64">
        <f t="shared" si="5"/>
        <v>0</v>
      </c>
      <c r="H15" s="64">
        <f t="shared" si="5"/>
        <v>0</v>
      </c>
      <c r="I15" s="64">
        <f t="shared" si="5"/>
        <v>0</v>
      </c>
      <c r="J15" s="64">
        <f t="shared" si="5"/>
        <v>0</v>
      </c>
      <c r="K15" s="64">
        <f t="shared" si="5"/>
        <v>0</v>
      </c>
      <c r="L15" s="64">
        <f t="shared" si="5"/>
        <v>0</v>
      </c>
      <c r="M15" s="64">
        <f t="shared" si="5"/>
        <v>0</v>
      </c>
      <c r="N15" s="64">
        <f t="shared" si="5"/>
        <v>0</v>
      </c>
      <c r="O15" s="64">
        <f t="shared" si="5"/>
        <v>0</v>
      </c>
      <c r="P15" s="64">
        <f t="shared" si="5"/>
        <v>0</v>
      </c>
      <c r="Q15" s="64">
        <f t="shared" si="5"/>
        <v>0</v>
      </c>
      <c r="R15" s="64">
        <f t="shared" si="5"/>
        <v>0</v>
      </c>
      <c r="S15" s="64">
        <f t="shared" si="5"/>
        <v>0</v>
      </c>
      <c r="T15" s="64">
        <f t="shared" si="5"/>
        <v>0</v>
      </c>
      <c r="U15" s="64">
        <f t="shared" si="5"/>
        <v>0</v>
      </c>
      <c r="V15" s="64">
        <f t="shared" si="5"/>
        <v>0</v>
      </c>
      <c r="W15" s="64">
        <f t="shared" si="5"/>
        <v>0</v>
      </c>
      <c r="X15" s="64">
        <f t="shared" si="5"/>
        <v>0</v>
      </c>
      <c r="Y15" s="64">
        <f t="shared" si="5"/>
        <v>0</v>
      </c>
      <c r="Z15" s="64">
        <f t="shared" si="5"/>
        <v>0</v>
      </c>
      <c r="AA15" s="65">
        <f t="shared" si="5"/>
        <v>0</v>
      </c>
    </row>
    <row r="16" spans="1:27" ht="15.75" thickBot="1" x14ac:dyDescent="0.3">
      <c r="A16" s="120" t="s">
        <v>162</v>
      </c>
      <c r="B16" s="121"/>
      <c r="C16" s="104">
        <f>C11+C15</f>
        <v>53</v>
      </c>
      <c r="D16" s="105">
        <f t="shared" ref="D16:AA16" si="6">D11+D15</f>
        <v>53</v>
      </c>
      <c r="E16" s="105">
        <f t="shared" si="6"/>
        <v>45</v>
      </c>
      <c r="F16" s="105">
        <f t="shared" si="6"/>
        <v>66</v>
      </c>
      <c r="G16" s="105">
        <f t="shared" si="6"/>
        <v>57</v>
      </c>
      <c r="H16" s="105">
        <f t="shared" si="6"/>
        <v>19</v>
      </c>
      <c r="I16" s="105">
        <f t="shared" si="6"/>
        <v>19</v>
      </c>
      <c r="J16" s="105">
        <f t="shared" si="6"/>
        <v>32</v>
      </c>
      <c r="K16" s="105">
        <f t="shared" si="6"/>
        <v>19</v>
      </c>
      <c r="L16" s="105">
        <f t="shared" si="6"/>
        <v>29</v>
      </c>
      <c r="M16" s="105">
        <f t="shared" si="6"/>
        <v>24</v>
      </c>
      <c r="N16" s="105">
        <f t="shared" si="6"/>
        <v>24</v>
      </c>
      <c r="O16" s="105">
        <f t="shared" si="6"/>
        <v>24</v>
      </c>
      <c r="P16" s="105">
        <f t="shared" si="6"/>
        <v>29</v>
      </c>
      <c r="Q16" s="105">
        <f t="shared" si="6"/>
        <v>29</v>
      </c>
      <c r="R16" s="105">
        <f t="shared" si="6"/>
        <v>24</v>
      </c>
      <c r="S16" s="105">
        <f t="shared" si="6"/>
        <v>37</v>
      </c>
      <c r="T16" s="105">
        <f t="shared" si="6"/>
        <v>19</v>
      </c>
      <c r="U16" s="105">
        <f t="shared" si="6"/>
        <v>19</v>
      </c>
      <c r="V16" s="105">
        <f t="shared" si="6"/>
        <v>19</v>
      </c>
      <c r="W16" s="105">
        <f t="shared" si="6"/>
        <v>37</v>
      </c>
      <c r="X16" s="105">
        <f t="shared" si="6"/>
        <v>22</v>
      </c>
      <c r="Y16" s="105">
        <f t="shared" si="6"/>
        <v>37</v>
      </c>
      <c r="Z16" s="105">
        <f t="shared" si="6"/>
        <v>12</v>
      </c>
      <c r="AA16" s="106">
        <f t="shared" si="6"/>
        <v>38</v>
      </c>
    </row>
    <row r="17" spans="1:27" ht="15.75" thickBot="1" x14ac:dyDescent="0.3">
      <c r="A17" s="116" t="s">
        <v>165</v>
      </c>
      <c r="B17" s="117"/>
      <c r="C17" s="90">
        <f>VLOOKUP($A17,Beeinflussung!$A$111:$Z$122,2,FALSE)</f>
        <v>0</v>
      </c>
      <c r="D17" s="91">
        <f>VLOOKUP($A17,Beeinflussung!$A$111:$Z$122,3,FALSE)</f>
        <v>0</v>
      </c>
      <c r="E17" s="91">
        <f>VLOOKUP($A17,Beeinflussung!$A$111:$Z$122,4,FALSE)</f>
        <v>0</v>
      </c>
      <c r="F17" s="91">
        <f>VLOOKUP($A17,Beeinflussung!$A$111:$Z$122,5,FALSE)</f>
        <v>0</v>
      </c>
      <c r="G17" s="91">
        <f>VLOOKUP($A17,Beeinflussung!$A$111:$Z$122,6,FALSE)</f>
        <v>0</v>
      </c>
      <c r="H17" s="91">
        <f>VLOOKUP($A17,Beeinflussung!$A$111:$Z$122,7,FALSE)</f>
        <v>0</v>
      </c>
      <c r="I17" s="91">
        <f>VLOOKUP($A17,Beeinflussung!$A$111:$Z$122,8,FALSE)</f>
        <v>0</v>
      </c>
      <c r="J17" s="91">
        <f>VLOOKUP($A17,Beeinflussung!$A$111:$Z$122,9,FALSE)</f>
        <v>0</v>
      </c>
      <c r="K17" s="91">
        <f>VLOOKUP($A17,Beeinflussung!$A$111:$Z$122,10,FALSE)</f>
        <v>0</v>
      </c>
      <c r="L17" s="91">
        <f>VLOOKUP($A17,Beeinflussung!$A$111:$Z$122,11,FALSE)</f>
        <v>0</v>
      </c>
      <c r="M17" s="91">
        <f>VLOOKUP($A17,Beeinflussung!$A$111:$Z$122,12,FALSE)</f>
        <v>0</v>
      </c>
      <c r="N17" s="91">
        <f>VLOOKUP($A17,Beeinflussung!$A$111:$Z$122,13,FALSE)</f>
        <v>0</v>
      </c>
      <c r="O17" s="91">
        <f>VLOOKUP($A17,Beeinflussung!$A$111:$Z$122,14,FALSE)</f>
        <v>0</v>
      </c>
      <c r="P17" s="91">
        <f>VLOOKUP($A17,Beeinflussung!$A$111:$Z$122,15,FALSE)</f>
        <v>0</v>
      </c>
      <c r="Q17" s="91">
        <f>VLOOKUP($A17,Beeinflussung!$A$111:$Z$122,16,FALSE)</f>
        <v>0</v>
      </c>
      <c r="R17" s="91">
        <f>VLOOKUP($A17,Beeinflussung!$A$111:$Z$122,17,FALSE)</f>
        <v>0</v>
      </c>
      <c r="S17" s="91">
        <f>VLOOKUP($A17,Beeinflussung!$A$111:$Z$122,18,FALSE)</f>
        <v>0</v>
      </c>
      <c r="T17" s="91">
        <f>VLOOKUP($A17,Beeinflussung!$A$111:$Z$122,19,FALSE)</f>
        <v>0</v>
      </c>
      <c r="U17" s="91">
        <f>VLOOKUP($A17,Beeinflussung!$A$111:$Z$122,20,FALSE)</f>
        <v>0</v>
      </c>
      <c r="V17" s="91">
        <f>VLOOKUP($A17,Beeinflussung!$A$111:$Z$122,21,FALSE)</f>
        <v>0</v>
      </c>
      <c r="W17" s="91">
        <f>VLOOKUP($A17,Beeinflussung!$A$111:$Z$122,22,FALSE)</f>
        <v>0</v>
      </c>
      <c r="X17" s="91">
        <f>VLOOKUP($A17,Beeinflussung!$A$111:$Z$122,23,FALSE)</f>
        <v>0</v>
      </c>
      <c r="Y17" s="91">
        <f>VLOOKUP($A17,Beeinflussung!$A$111:$Z$122,24,FALSE)</f>
        <v>0</v>
      </c>
      <c r="Z17" s="91">
        <f>VLOOKUP($A17,Beeinflussung!$A$111:$Z$122,25,FALSE)</f>
        <v>0</v>
      </c>
      <c r="AA17" s="92">
        <f>VLOOKUP($A17,Beeinflussung!$A$111:$Z$122,26,FALSE)</f>
        <v>0</v>
      </c>
    </row>
    <row r="18" spans="1:27" ht="15.75" thickBot="1" x14ac:dyDescent="0.3">
      <c r="A18" s="116" t="s">
        <v>165</v>
      </c>
      <c r="B18" s="117"/>
      <c r="C18" s="66">
        <f>VLOOKUP($A18,Beeinflussung!$A$111:$Z$122,2,FALSE)</f>
        <v>0</v>
      </c>
      <c r="D18" s="93">
        <f>VLOOKUP($A18,Beeinflussung!$A$111:$Z$122,3,FALSE)</f>
        <v>0</v>
      </c>
      <c r="E18" s="93">
        <f>VLOOKUP($A18,Beeinflussung!$A$111:$Z$122,4,FALSE)</f>
        <v>0</v>
      </c>
      <c r="F18" s="93">
        <f>VLOOKUP($A18,Beeinflussung!$A$111:$Z$122,5,FALSE)</f>
        <v>0</v>
      </c>
      <c r="G18" s="93">
        <f>VLOOKUP($A18,Beeinflussung!$A$111:$Z$122,6,FALSE)</f>
        <v>0</v>
      </c>
      <c r="H18" s="93">
        <f>VLOOKUP($A18,Beeinflussung!$A$111:$Z$122,7,FALSE)</f>
        <v>0</v>
      </c>
      <c r="I18" s="93">
        <f>VLOOKUP($A18,Beeinflussung!$A$111:$Z$122,8,FALSE)</f>
        <v>0</v>
      </c>
      <c r="J18" s="93">
        <f>VLOOKUP($A18,Beeinflussung!$A$111:$Z$122,9,FALSE)</f>
        <v>0</v>
      </c>
      <c r="K18" s="93">
        <f>VLOOKUP($A18,Beeinflussung!$A$111:$Z$122,10,FALSE)</f>
        <v>0</v>
      </c>
      <c r="L18" s="93">
        <f>VLOOKUP($A18,Beeinflussung!$A$111:$Z$122,11,FALSE)</f>
        <v>0</v>
      </c>
      <c r="M18" s="93">
        <f>VLOOKUP($A18,Beeinflussung!$A$111:$Z$122,12,FALSE)</f>
        <v>0</v>
      </c>
      <c r="N18" s="93">
        <f>VLOOKUP($A18,Beeinflussung!$A$111:$Z$122,13,FALSE)</f>
        <v>0</v>
      </c>
      <c r="O18" s="93">
        <f>VLOOKUP($A18,Beeinflussung!$A$111:$Z$122,14,FALSE)</f>
        <v>0</v>
      </c>
      <c r="P18" s="93">
        <f>VLOOKUP($A18,Beeinflussung!$A$111:$Z$122,15,FALSE)</f>
        <v>0</v>
      </c>
      <c r="Q18" s="93">
        <f>VLOOKUP($A18,Beeinflussung!$A$111:$Z$122,16,FALSE)</f>
        <v>0</v>
      </c>
      <c r="R18" s="93">
        <f>VLOOKUP($A18,Beeinflussung!$A$111:$Z$122,17,FALSE)</f>
        <v>0</v>
      </c>
      <c r="S18" s="93">
        <f>VLOOKUP($A18,Beeinflussung!$A$111:$Z$122,18,FALSE)</f>
        <v>0</v>
      </c>
      <c r="T18" s="93">
        <f>VLOOKUP($A18,Beeinflussung!$A$111:$Z$122,19,FALSE)</f>
        <v>0</v>
      </c>
      <c r="U18" s="93">
        <f>VLOOKUP($A18,Beeinflussung!$A$111:$Z$122,20,FALSE)</f>
        <v>0</v>
      </c>
      <c r="V18" s="93">
        <f>VLOOKUP($A18,Beeinflussung!$A$111:$Z$122,21,FALSE)</f>
        <v>0</v>
      </c>
      <c r="W18" s="93">
        <f>VLOOKUP($A18,Beeinflussung!$A$111:$Z$122,22,FALSE)</f>
        <v>0</v>
      </c>
      <c r="X18" s="93">
        <f>VLOOKUP($A18,Beeinflussung!$A$111:$Z$122,23,FALSE)</f>
        <v>0</v>
      </c>
      <c r="Y18" s="93">
        <f>VLOOKUP($A18,Beeinflussung!$A$111:$Z$122,24,FALSE)</f>
        <v>0</v>
      </c>
      <c r="Z18" s="93">
        <f>VLOOKUP($A18,Beeinflussung!$A$111:$Z$122,25,FALSE)</f>
        <v>0</v>
      </c>
      <c r="AA18" s="67">
        <f>VLOOKUP($A18,Beeinflussung!$A$111:$Z$122,26,FALSE)</f>
        <v>0</v>
      </c>
    </row>
    <row r="19" spans="1:27" ht="15.75" thickBot="1" x14ac:dyDescent="0.3">
      <c r="A19" s="116" t="s">
        <v>165</v>
      </c>
      <c r="B19" s="117"/>
      <c r="C19" s="66">
        <f>VLOOKUP($A19,Beeinflussung!$A$111:$Z$122,2,FALSE)</f>
        <v>0</v>
      </c>
      <c r="D19" s="93">
        <f>VLOOKUP($A19,Beeinflussung!$A$111:$Z$122,3,FALSE)</f>
        <v>0</v>
      </c>
      <c r="E19" s="93">
        <f>VLOOKUP($A19,Beeinflussung!$A$111:$Z$122,4,FALSE)</f>
        <v>0</v>
      </c>
      <c r="F19" s="93">
        <f>VLOOKUP($A19,Beeinflussung!$A$111:$Z$122,5,FALSE)</f>
        <v>0</v>
      </c>
      <c r="G19" s="93">
        <f>VLOOKUP($A19,Beeinflussung!$A$111:$Z$122,6,FALSE)</f>
        <v>0</v>
      </c>
      <c r="H19" s="93">
        <f>VLOOKUP($A19,Beeinflussung!$A$111:$Z$122,7,FALSE)</f>
        <v>0</v>
      </c>
      <c r="I19" s="93">
        <f>VLOOKUP($A19,Beeinflussung!$A$111:$Z$122,8,FALSE)</f>
        <v>0</v>
      </c>
      <c r="J19" s="93">
        <f>VLOOKUP($A19,Beeinflussung!$A$111:$Z$122,9,FALSE)</f>
        <v>0</v>
      </c>
      <c r="K19" s="93">
        <f>VLOOKUP($A19,Beeinflussung!$A$111:$Z$122,10,FALSE)</f>
        <v>0</v>
      </c>
      <c r="L19" s="93">
        <f>VLOOKUP($A19,Beeinflussung!$A$111:$Z$122,11,FALSE)</f>
        <v>0</v>
      </c>
      <c r="M19" s="93">
        <f>VLOOKUP($A19,Beeinflussung!$A$111:$Z$122,12,FALSE)</f>
        <v>0</v>
      </c>
      <c r="N19" s="93">
        <f>VLOOKUP($A19,Beeinflussung!$A$111:$Z$122,13,FALSE)</f>
        <v>0</v>
      </c>
      <c r="O19" s="93">
        <f>VLOOKUP($A19,Beeinflussung!$A$111:$Z$122,14,FALSE)</f>
        <v>0</v>
      </c>
      <c r="P19" s="93">
        <f>VLOOKUP($A19,Beeinflussung!$A$111:$Z$122,15,FALSE)</f>
        <v>0</v>
      </c>
      <c r="Q19" s="93">
        <f>VLOOKUP($A19,Beeinflussung!$A$111:$Z$122,16,FALSE)</f>
        <v>0</v>
      </c>
      <c r="R19" s="93">
        <f>VLOOKUP($A19,Beeinflussung!$A$111:$Z$122,17,FALSE)</f>
        <v>0</v>
      </c>
      <c r="S19" s="93">
        <f>VLOOKUP($A19,Beeinflussung!$A$111:$Z$122,18,FALSE)</f>
        <v>0</v>
      </c>
      <c r="T19" s="93">
        <f>VLOOKUP($A19,Beeinflussung!$A$111:$Z$122,19,FALSE)</f>
        <v>0</v>
      </c>
      <c r="U19" s="93">
        <f>VLOOKUP($A19,Beeinflussung!$A$111:$Z$122,20,FALSE)</f>
        <v>0</v>
      </c>
      <c r="V19" s="93">
        <f>VLOOKUP($A19,Beeinflussung!$A$111:$Z$122,21,FALSE)</f>
        <v>0</v>
      </c>
      <c r="W19" s="93">
        <f>VLOOKUP($A19,Beeinflussung!$A$111:$Z$122,22,FALSE)</f>
        <v>0</v>
      </c>
      <c r="X19" s="93">
        <f>VLOOKUP($A19,Beeinflussung!$A$111:$Z$122,23,FALSE)</f>
        <v>0</v>
      </c>
      <c r="Y19" s="93">
        <f>VLOOKUP($A19,Beeinflussung!$A$111:$Z$122,24,FALSE)</f>
        <v>0</v>
      </c>
      <c r="Z19" s="93">
        <f>VLOOKUP($A19,Beeinflussung!$A$111:$Z$122,25,FALSE)</f>
        <v>0</v>
      </c>
      <c r="AA19" s="67">
        <f>VLOOKUP($A19,Beeinflussung!$A$111:$Z$122,26,FALSE)</f>
        <v>0</v>
      </c>
    </row>
    <row r="20" spans="1:27" ht="15.75" thickBot="1" x14ac:dyDescent="0.3">
      <c r="A20" s="116" t="s">
        <v>165</v>
      </c>
      <c r="B20" s="117"/>
      <c r="C20" s="94">
        <f>VLOOKUP($A20,Beeinflussung!$A$111:$Z$122,2,FALSE)</f>
        <v>0</v>
      </c>
      <c r="D20" s="95">
        <f>VLOOKUP($A20,Beeinflussung!$A$111:$Z$122,3,FALSE)</f>
        <v>0</v>
      </c>
      <c r="E20" s="95">
        <f>VLOOKUP($A20,Beeinflussung!$A$111:$Z$122,4,FALSE)</f>
        <v>0</v>
      </c>
      <c r="F20" s="95">
        <f>VLOOKUP($A20,Beeinflussung!$A$111:$Z$122,5,FALSE)</f>
        <v>0</v>
      </c>
      <c r="G20" s="95">
        <f>VLOOKUP($A20,Beeinflussung!$A$111:$Z$122,6,FALSE)</f>
        <v>0</v>
      </c>
      <c r="H20" s="95">
        <f>VLOOKUP($A20,Beeinflussung!$A$111:$Z$122,7,FALSE)</f>
        <v>0</v>
      </c>
      <c r="I20" s="95">
        <f>VLOOKUP($A20,Beeinflussung!$A$111:$Z$122,8,FALSE)</f>
        <v>0</v>
      </c>
      <c r="J20" s="95">
        <f>VLOOKUP($A20,Beeinflussung!$A$111:$Z$122,9,FALSE)</f>
        <v>0</v>
      </c>
      <c r="K20" s="95">
        <f>VLOOKUP($A20,Beeinflussung!$A$111:$Z$122,10,FALSE)</f>
        <v>0</v>
      </c>
      <c r="L20" s="95">
        <f>VLOOKUP($A20,Beeinflussung!$A$111:$Z$122,11,FALSE)</f>
        <v>0</v>
      </c>
      <c r="M20" s="95">
        <f>VLOOKUP($A20,Beeinflussung!$A$111:$Z$122,12,FALSE)</f>
        <v>0</v>
      </c>
      <c r="N20" s="95">
        <f>VLOOKUP($A20,Beeinflussung!$A$111:$Z$122,13,FALSE)</f>
        <v>0</v>
      </c>
      <c r="O20" s="95">
        <f>VLOOKUP($A20,Beeinflussung!$A$111:$Z$122,14,FALSE)</f>
        <v>0</v>
      </c>
      <c r="P20" s="95">
        <f>VLOOKUP($A20,Beeinflussung!$A$111:$Z$122,15,FALSE)</f>
        <v>0</v>
      </c>
      <c r="Q20" s="95">
        <f>VLOOKUP($A20,Beeinflussung!$A$111:$Z$122,16,FALSE)</f>
        <v>0</v>
      </c>
      <c r="R20" s="95">
        <f>VLOOKUP($A20,Beeinflussung!$A$111:$Z$122,17,FALSE)</f>
        <v>0</v>
      </c>
      <c r="S20" s="95">
        <f>VLOOKUP($A20,Beeinflussung!$A$111:$Z$122,18,FALSE)</f>
        <v>0</v>
      </c>
      <c r="T20" s="95">
        <f>VLOOKUP($A20,Beeinflussung!$A$111:$Z$122,19,FALSE)</f>
        <v>0</v>
      </c>
      <c r="U20" s="95">
        <f>VLOOKUP($A20,Beeinflussung!$A$111:$Z$122,20,FALSE)</f>
        <v>0</v>
      </c>
      <c r="V20" s="95">
        <f>VLOOKUP($A20,Beeinflussung!$A$111:$Z$122,21,FALSE)</f>
        <v>0</v>
      </c>
      <c r="W20" s="95">
        <f>VLOOKUP($A20,Beeinflussung!$A$111:$Z$122,22,FALSE)</f>
        <v>0</v>
      </c>
      <c r="X20" s="95">
        <f>VLOOKUP($A20,Beeinflussung!$A$111:$Z$122,23,FALSE)</f>
        <v>0</v>
      </c>
      <c r="Y20" s="95">
        <f>VLOOKUP($A20,Beeinflussung!$A$111:$Z$122,24,FALSE)</f>
        <v>0</v>
      </c>
      <c r="Z20" s="95">
        <f>VLOOKUP($A20,Beeinflussung!$A$111:$Z$122,25,FALSE)</f>
        <v>0</v>
      </c>
      <c r="AA20" s="96">
        <f>VLOOKUP($A20,Beeinflussung!$A$111:$Z$122,26,FALSE)</f>
        <v>0</v>
      </c>
    </row>
    <row r="21" spans="1:27" ht="15.75" thickBot="1" x14ac:dyDescent="0.3">
      <c r="A21" s="118" t="s">
        <v>243</v>
      </c>
      <c r="B21" s="119"/>
      <c r="C21" s="61">
        <f>SUM(C17:C20)</f>
        <v>0</v>
      </c>
      <c r="D21" s="100">
        <f t="shared" ref="D21:AA21" si="7">SUM(D17:D20)</f>
        <v>0</v>
      </c>
      <c r="E21" s="100">
        <f t="shared" si="7"/>
        <v>0</v>
      </c>
      <c r="F21" s="100">
        <f t="shared" si="7"/>
        <v>0</v>
      </c>
      <c r="G21" s="100">
        <f t="shared" si="7"/>
        <v>0</v>
      </c>
      <c r="H21" s="100">
        <f t="shared" si="7"/>
        <v>0</v>
      </c>
      <c r="I21" s="100">
        <f t="shared" si="7"/>
        <v>0</v>
      </c>
      <c r="J21" s="100">
        <f t="shared" si="7"/>
        <v>0</v>
      </c>
      <c r="K21" s="100">
        <f t="shared" si="7"/>
        <v>0</v>
      </c>
      <c r="L21" s="100">
        <f t="shared" si="7"/>
        <v>0</v>
      </c>
      <c r="M21" s="100">
        <f t="shared" si="7"/>
        <v>0</v>
      </c>
      <c r="N21" s="100">
        <f t="shared" si="7"/>
        <v>0</v>
      </c>
      <c r="O21" s="100">
        <f t="shared" si="7"/>
        <v>0</v>
      </c>
      <c r="P21" s="100">
        <f t="shared" si="7"/>
        <v>0</v>
      </c>
      <c r="Q21" s="100">
        <f t="shared" si="7"/>
        <v>0</v>
      </c>
      <c r="R21" s="100">
        <f t="shared" si="7"/>
        <v>0</v>
      </c>
      <c r="S21" s="100">
        <f t="shared" si="7"/>
        <v>0</v>
      </c>
      <c r="T21" s="100">
        <f t="shared" si="7"/>
        <v>0</v>
      </c>
      <c r="U21" s="100">
        <f t="shared" si="7"/>
        <v>0</v>
      </c>
      <c r="V21" s="100">
        <f t="shared" si="7"/>
        <v>0</v>
      </c>
      <c r="W21" s="100">
        <f t="shared" si="7"/>
        <v>0</v>
      </c>
      <c r="X21" s="100">
        <f t="shared" si="7"/>
        <v>0</v>
      </c>
      <c r="Y21" s="100">
        <f t="shared" si="7"/>
        <v>0</v>
      </c>
      <c r="Z21" s="100">
        <f t="shared" si="7"/>
        <v>0</v>
      </c>
      <c r="AA21" s="101">
        <f t="shared" si="7"/>
        <v>0</v>
      </c>
    </row>
    <row r="22" spans="1:27" ht="19.5" thickBot="1" x14ac:dyDescent="0.35">
      <c r="A22" s="107" t="s">
        <v>238</v>
      </c>
      <c r="B22" s="108">
        <f>B11</f>
        <v>1</v>
      </c>
      <c r="C22" s="109">
        <f>SUM(C16:C20)</f>
        <v>53</v>
      </c>
      <c r="D22" s="110">
        <f t="shared" ref="D22:AA22" si="8">SUM(D16:D20)</f>
        <v>53</v>
      </c>
      <c r="E22" s="110">
        <f t="shared" si="8"/>
        <v>45</v>
      </c>
      <c r="F22" s="110">
        <f t="shared" si="8"/>
        <v>66</v>
      </c>
      <c r="G22" s="110">
        <f t="shared" si="8"/>
        <v>57</v>
      </c>
      <c r="H22" s="110">
        <f t="shared" si="8"/>
        <v>19</v>
      </c>
      <c r="I22" s="110">
        <f t="shared" si="8"/>
        <v>19</v>
      </c>
      <c r="J22" s="110">
        <f t="shared" si="8"/>
        <v>32</v>
      </c>
      <c r="K22" s="110">
        <f t="shared" si="8"/>
        <v>19</v>
      </c>
      <c r="L22" s="110">
        <f t="shared" si="8"/>
        <v>29</v>
      </c>
      <c r="M22" s="110">
        <f t="shared" si="8"/>
        <v>24</v>
      </c>
      <c r="N22" s="110">
        <f t="shared" si="8"/>
        <v>24</v>
      </c>
      <c r="O22" s="110">
        <f t="shared" si="8"/>
        <v>24</v>
      </c>
      <c r="P22" s="110">
        <f t="shared" si="8"/>
        <v>29</v>
      </c>
      <c r="Q22" s="110">
        <f t="shared" si="8"/>
        <v>29</v>
      </c>
      <c r="R22" s="110">
        <f t="shared" si="8"/>
        <v>24</v>
      </c>
      <c r="S22" s="110">
        <f t="shared" si="8"/>
        <v>37</v>
      </c>
      <c r="T22" s="110">
        <f t="shared" si="8"/>
        <v>19</v>
      </c>
      <c r="U22" s="110">
        <f t="shared" si="8"/>
        <v>19</v>
      </c>
      <c r="V22" s="110">
        <f t="shared" si="8"/>
        <v>19</v>
      </c>
      <c r="W22" s="110">
        <f t="shared" si="8"/>
        <v>37</v>
      </c>
      <c r="X22" s="110">
        <f t="shared" si="8"/>
        <v>22</v>
      </c>
      <c r="Y22" s="110">
        <f t="shared" si="8"/>
        <v>37</v>
      </c>
      <c r="Z22" s="110">
        <f t="shared" si="8"/>
        <v>12</v>
      </c>
      <c r="AA22" s="111">
        <f t="shared" si="8"/>
        <v>38</v>
      </c>
    </row>
    <row r="23" spans="1:27" ht="15.75" thickBot="1" x14ac:dyDescent="0.3">
      <c r="A23" s="66" t="s">
        <v>239</v>
      </c>
      <c r="B23" s="112">
        <f>B22*0.9</f>
        <v>0.9</v>
      </c>
      <c r="C23" s="85">
        <f>C$22</f>
        <v>53</v>
      </c>
      <c r="D23" s="85">
        <f>D$22</f>
        <v>53</v>
      </c>
      <c r="E23" s="85">
        <f>E$22</f>
        <v>45</v>
      </c>
      <c r="F23" s="85">
        <f>F$22</f>
        <v>66</v>
      </c>
      <c r="G23" s="85">
        <f>G$22*0.8</f>
        <v>45.6</v>
      </c>
      <c r="H23" s="85">
        <f>H$6*0.9+H$10+H$15+H$21</f>
        <v>17.100000000000001</v>
      </c>
      <c r="I23" s="85">
        <f t="shared" ref="I23:AA23" si="9">I$6*0.9+I$10+I$15+I$21</f>
        <v>17.100000000000001</v>
      </c>
      <c r="J23" s="85">
        <f t="shared" si="9"/>
        <v>30.3</v>
      </c>
      <c r="K23" s="85">
        <f t="shared" si="9"/>
        <v>17.100000000000001</v>
      </c>
      <c r="L23" s="85">
        <f t="shared" si="9"/>
        <v>26.1</v>
      </c>
      <c r="M23" s="85">
        <f t="shared" si="9"/>
        <v>21.6</v>
      </c>
      <c r="N23" s="85">
        <f t="shared" si="9"/>
        <v>21.6</v>
      </c>
      <c r="O23" s="85">
        <f t="shared" si="9"/>
        <v>21.6</v>
      </c>
      <c r="P23" s="85">
        <f t="shared" si="9"/>
        <v>26.1</v>
      </c>
      <c r="Q23" s="85">
        <f t="shared" si="9"/>
        <v>26.1</v>
      </c>
      <c r="R23" s="85">
        <f t="shared" si="9"/>
        <v>21.6</v>
      </c>
      <c r="S23" s="85">
        <f t="shared" si="9"/>
        <v>35.299999999999997</v>
      </c>
      <c r="T23" s="85">
        <f t="shared" si="9"/>
        <v>17.100000000000001</v>
      </c>
      <c r="U23" s="85">
        <f t="shared" si="9"/>
        <v>17.100000000000001</v>
      </c>
      <c r="V23" s="85">
        <f t="shared" si="9"/>
        <v>17.100000000000001</v>
      </c>
      <c r="W23" s="85">
        <f t="shared" si="9"/>
        <v>35.299999999999997</v>
      </c>
      <c r="X23" s="85">
        <f t="shared" si="9"/>
        <v>19.8</v>
      </c>
      <c r="Y23" s="85">
        <f t="shared" si="9"/>
        <v>33.300000000000004</v>
      </c>
      <c r="Z23" s="85">
        <f t="shared" si="9"/>
        <v>10.8</v>
      </c>
      <c r="AA23" s="86">
        <f t="shared" si="9"/>
        <v>35.799999999999997</v>
      </c>
    </row>
    <row r="24" spans="1:27" ht="15.75" thickBot="1" x14ac:dyDescent="0.3">
      <c r="A24" s="66" t="s">
        <v>240</v>
      </c>
      <c r="B24" s="112">
        <f>B22*0.8</f>
        <v>0.8</v>
      </c>
      <c r="C24" s="85">
        <f t="shared" ref="C24:C27" si="10">C$22</f>
        <v>53</v>
      </c>
      <c r="D24" s="85">
        <f>D$22</f>
        <v>53</v>
      </c>
      <c r="E24" s="85">
        <f t="shared" ref="E24:F27" si="11">E$22</f>
        <v>45</v>
      </c>
      <c r="F24" s="85">
        <f t="shared" si="11"/>
        <v>66</v>
      </c>
      <c r="G24" s="85">
        <f t="shared" ref="G24:G27" si="12">G$22*0.8</f>
        <v>45.6</v>
      </c>
      <c r="H24" s="85">
        <f>H$6*0.8+H$10+H$15+H$21</f>
        <v>15.200000000000001</v>
      </c>
      <c r="I24" s="85">
        <f t="shared" ref="I24:AA24" si="13">I$6*0.8+I$10+I$15+I$21</f>
        <v>15.200000000000001</v>
      </c>
      <c r="J24" s="85">
        <f t="shared" si="13"/>
        <v>28.6</v>
      </c>
      <c r="K24" s="85">
        <f t="shared" si="13"/>
        <v>15.200000000000001</v>
      </c>
      <c r="L24" s="85">
        <f t="shared" si="13"/>
        <v>23.200000000000003</v>
      </c>
      <c r="M24" s="85">
        <f t="shared" si="13"/>
        <v>19.200000000000003</v>
      </c>
      <c r="N24" s="85">
        <f t="shared" si="13"/>
        <v>19.200000000000003</v>
      </c>
      <c r="O24" s="85">
        <f t="shared" si="13"/>
        <v>19.200000000000003</v>
      </c>
      <c r="P24" s="85">
        <f t="shared" si="13"/>
        <v>23.200000000000003</v>
      </c>
      <c r="Q24" s="85">
        <f t="shared" si="13"/>
        <v>23.200000000000003</v>
      </c>
      <c r="R24" s="85">
        <f t="shared" si="13"/>
        <v>19.200000000000003</v>
      </c>
      <c r="S24" s="85">
        <f t="shared" si="13"/>
        <v>33.6</v>
      </c>
      <c r="T24" s="85">
        <f t="shared" si="13"/>
        <v>15.200000000000001</v>
      </c>
      <c r="U24" s="85">
        <f t="shared" si="13"/>
        <v>15.200000000000001</v>
      </c>
      <c r="V24" s="85">
        <f t="shared" si="13"/>
        <v>15.200000000000001</v>
      </c>
      <c r="W24" s="85">
        <f t="shared" si="13"/>
        <v>33.6</v>
      </c>
      <c r="X24" s="85">
        <f t="shared" si="13"/>
        <v>17.600000000000001</v>
      </c>
      <c r="Y24" s="85">
        <f t="shared" si="13"/>
        <v>29.6</v>
      </c>
      <c r="Z24" s="85">
        <f t="shared" si="13"/>
        <v>9.6000000000000014</v>
      </c>
      <c r="AA24" s="86">
        <f t="shared" si="13"/>
        <v>33.6</v>
      </c>
    </row>
    <row r="25" spans="1:27" ht="15.75" thickBot="1" x14ac:dyDescent="0.3">
      <c r="A25" s="66" t="s">
        <v>241</v>
      </c>
      <c r="B25" s="112">
        <f>B22*0.7</f>
        <v>0.7</v>
      </c>
      <c r="C25" s="85">
        <f t="shared" si="10"/>
        <v>53</v>
      </c>
      <c r="D25" s="85">
        <f>D$22</f>
        <v>53</v>
      </c>
      <c r="E25" s="85">
        <f t="shared" si="11"/>
        <v>45</v>
      </c>
      <c r="F25" s="85">
        <f t="shared" si="11"/>
        <v>66</v>
      </c>
      <c r="G25" s="85">
        <f t="shared" si="12"/>
        <v>45.6</v>
      </c>
      <c r="H25" s="85">
        <f>H$6*0.7+H$10+H$15+H$21</f>
        <v>13.299999999999999</v>
      </c>
      <c r="I25" s="85">
        <f t="shared" ref="I25:AA25" si="14">I$6*0.7+I$10+I$15+I$21</f>
        <v>13.299999999999999</v>
      </c>
      <c r="J25" s="85">
        <f t="shared" si="14"/>
        <v>26.9</v>
      </c>
      <c r="K25" s="85">
        <f t="shared" si="14"/>
        <v>13.299999999999999</v>
      </c>
      <c r="L25" s="85">
        <f t="shared" si="14"/>
        <v>20.299999999999997</v>
      </c>
      <c r="M25" s="85">
        <f t="shared" si="14"/>
        <v>16.799999999999997</v>
      </c>
      <c r="N25" s="85">
        <f t="shared" si="14"/>
        <v>16.799999999999997</v>
      </c>
      <c r="O25" s="85">
        <f t="shared" si="14"/>
        <v>16.799999999999997</v>
      </c>
      <c r="P25" s="85">
        <f t="shared" si="14"/>
        <v>20.299999999999997</v>
      </c>
      <c r="Q25" s="85">
        <f t="shared" si="14"/>
        <v>20.299999999999997</v>
      </c>
      <c r="R25" s="85">
        <f t="shared" si="14"/>
        <v>16.799999999999997</v>
      </c>
      <c r="S25" s="85">
        <f t="shared" si="14"/>
        <v>31.9</v>
      </c>
      <c r="T25" s="85">
        <f t="shared" si="14"/>
        <v>13.299999999999999</v>
      </c>
      <c r="U25" s="85">
        <f t="shared" si="14"/>
        <v>13.299999999999999</v>
      </c>
      <c r="V25" s="85">
        <f t="shared" si="14"/>
        <v>13.299999999999999</v>
      </c>
      <c r="W25" s="85">
        <f t="shared" si="14"/>
        <v>31.9</v>
      </c>
      <c r="X25" s="85">
        <f t="shared" si="14"/>
        <v>15.399999999999999</v>
      </c>
      <c r="Y25" s="85">
        <f t="shared" si="14"/>
        <v>25.9</v>
      </c>
      <c r="Z25" s="85">
        <f t="shared" si="14"/>
        <v>8.3999999999999986</v>
      </c>
      <c r="AA25" s="86">
        <f t="shared" si="14"/>
        <v>31.4</v>
      </c>
    </row>
    <row r="26" spans="1:27" ht="15.75" thickBot="1" x14ac:dyDescent="0.3">
      <c r="A26" s="66" t="s">
        <v>244</v>
      </c>
      <c r="B26" s="112">
        <f>B22*0.5</f>
        <v>0.5</v>
      </c>
      <c r="C26" s="85">
        <f>C$22</f>
        <v>53</v>
      </c>
      <c r="D26" s="85">
        <f>D$22</f>
        <v>53</v>
      </c>
      <c r="E26" s="85">
        <f t="shared" si="11"/>
        <v>45</v>
      </c>
      <c r="F26" s="85">
        <f t="shared" si="11"/>
        <v>66</v>
      </c>
      <c r="G26" s="85">
        <f t="shared" si="12"/>
        <v>45.6</v>
      </c>
      <c r="H26" s="85">
        <f>H$6*0.5+H$10+H$15+H$21</f>
        <v>9.5</v>
      </c>
      <c r="I26" s="85">
        <f t="shared" ref="I26:AA26" si="15">I$6*0.5+I$10+I$15+I$21</f>
        <v>9.5</v>
      </c>
      <c r="J26" s="85">
        <f t="shared" si="15"/>
        <v>23.5</v>
      </c>
      <c r="K26" s="85">
        <f t="shared" si="15"/>
        <v>9.5</v>
      </c>
      <c r="L26" s="85">
        <f t="shared" si="15"/>
        <v>14.5</v>
      </c>
      <c r="M26" s="85">
        <f t="shared" si="15"/>
        <v>12</v>
      </c>
      <c r="N26" s="85">
        <f t="shared" si="15"/>
        <v>12</v>
      </c>
      <c r="O26" s="85">
        <f t="shared" si="15"/>
        <v>12</v>
      </c>
      <c r="P26" s="85">
        <f t="shared" si="15"/>
        <v>14.5</v>
      </c>
      <c r="Q26" s="85">
        <f t="shared" si="15"/>
        <v>14.5</v>
      </c>
      <c r="R26" s="85">
        <f t="shared" si="15"/>
        <v>12</v>
      </c>
      <c r="S26" s="85">
        <f t="shared" si="15"/>
        <v>28.5</v>
      </c>
      <c r="T26" s="85">
        <f t="shared" si="15"/>
        <v>9.5</v>
      </c>
      <c r="U26" s="85">
        <f t="shared" si="15"/>
        <v>9.5</v>
      </c>
      <c r="V26" s="85">
        <f t="shared" si="15"/>
        <v>9.5</v>
      </c>
      <c r="W26" s="85">
        <f t="shared" si="15"/>
        <v>28.5</v>
      </c>
      <c r="X26" s="85">
        <f t="shared" si="15"/>
        <v>11</v>
      </c>
      <c r="Y26" s="85">
        <f t="shared" si="15"/>
        <v>18.5</v>
      </c>
      <c r="Z26" s="85">
        <f t="shared" si="15"/>
        <v>6</v>
      </c>
      <c r="AA26" s="86">
        <f t="shared" si="15"/>
        <v>27</v>
      </c>
    </row>
    <row r="27" spans="1:27" ht="15.75" thickBot="1" x14ac:dyDescent="0.3">
      <c r="A27" s="66" t="s">
        <v>245</v>
      </c>
      <c r="B27" s="112">
        <f>B22*0.2</f>
        <v>0.2</v>
      </c>
      <c r="C27" s="85">
        <f t="shared" si="10"/>
        <v>53</v>
      </c>
      <c r="D27" s="85">
        <f>D$22</f>
        <v>53</v>
      </c>
      <c r="E27" s="85">
        <f t="shared" si="11"/>
        <v>45</v>
      </c>
      <c r="F27" s="85">
        <f t="shared" si="11"/>
        <v>66</v>
      </c>
      <c r="G27" s="85">
        <f t="shared" si="12"/>
        <v>45.6</v>
      </c>
      <c r="H27" s="85">
        <f>H$6*0.2+H$10+H$15+H$21</f>
        <v>3.8000000000000003</v>
      </c>
      <c r="I27" s="85">
        <f t="shared" ref="I27:AA27" si="16">I$6*0.2+I$10+I$15+I$21</f>
        <v>3.8000000000000003</v>
      </c>
      <c r="J27" s="85">
        <f t="shared" si="16"/>
        <v>18.399999999999999</v>
      </c>
      <c r="K27" s="85">
        <f t="shared" si="16"/>
        <v>3.8000000000000003</v>
      </c>
      <c r="L27" s="85">
        <f t="shared" si="16"/>
        <v>5.8000000000000007</v>
      </c>
      <c r="M27" s="85">
        <f t="shared" si="16"/>
        <v>4.8000000000000007</v>
      </c>
      <c r="N27" s="85">
        <f t="shared" si="16"/>
        <v>4.8000000000000007</v>
      </c>
      <c r="O27" s="85">
        <f t="shared" si="16"/>
        <v>4.8000000000000007</v>
      </c>
      <c r="P27" s="85">
        <f t="shared" si="16"/>
        <v>5.8000000000000007</v>
      </c>
      <c r="Q27" s="85">
        <f t="shared" si="16"/>
        <v>5.8000000000000007</v>
      </c>
      <c r="R27" s="85">
        <f t="shared" si="16"/>
        <v>4.8000000000000007</v>
      </c>
      <c r="S27" s="85">
        <f t="shared" si="16"/>
        <v>23.4</v>
      </c>
      <c r="T27" s="85">
        <f t="shared" si="16"/>
        <v>3.8000000000000003</v>
      </c>
      <c r="U27" s="85">
        <f t="shared" si="16"/>
        <v>3.8000000000000003</v>
      </c>
      <c r="V27" s="85">
        <f t="shared" si="16"/>
        <v>3.8000000000000003</v>
      </c>
      <c r="W27" s="85">
        <f t="shared" si="16"/>
        <v>23.4</v>
      </c>
      <c r="X27" s="85">
        <f t="shared" si="16"/>
        <v>4.4000000000000004</v>
      </c>
      <c r="Y27" s="85">
        <f t="shared" si="16"/>
        <v>7.4</v>
      </c>
      <c r="Z27" s="85">
        <f t="shared" si="16"/>
        <v>2.4000000000000004</v>
      </c>
      <c r="AA27" s="86">
        <f t="shared" si="16"/>
        <v>20.399999999999999</v>
      </c>
    </row>
  </sheetData>
  <mergeCells count="11">
    <mergeCell ref="A21:B21"/>
    <mergeCell ref="A17:B17"/>
    <mergeCell ref="A18:B18"/>
    <mergeCell ref="A19:B19"/>
    <mergeCell ref="A20:B20"/>
    <mergeCell ref="A12:B12"/>
    <mergeCell ref="A13:B13"/>
    <mergeCell ref="A14:B14"/>
    <mergeCell ref="A10:B10"/>
    <mergeCell ref="A16:B16"/>
    <mergeCell ref="A15:B15"/>
  </mergeCells>
  <dataValidations count="6">
    <dataValidation type="list" allowBlank="1" showInputMessage="1" showErrorMessage="1" sqref="B7">
      <formula1>"Sehr klein,Klein,Normal,Groß,Sehr groß"</formula1>
    </dataValidation>
    <dataValidation type="list" allowBlank="1" showInputMessage="1" showErrorMessage="1" sqref="B8">
      <formula1>"Normal,Athletisch,Kräftig,Schmächtig"</formula1>
    </dataValidation>
    <dataValidation type="list" allowBlank="1" showInputMessage="1" showErrorMessage="1" sqref="B9">
      <formula1>"16,17,18,19,20,21,22,23,24,25,26,27,28,29,30,31,32,33,34,35,36,37,38,39,40,41,42,43,44,45"</formula1>
    </dataValidation>
    <dataValidation type="whole" allowBlank="1" showInputMessage="1" showErrorMessage="1" sqref="B4">
      <formula1>0</formula1>
      <formula2>20</formula2>
    </dataValidation>
    <dataValidation type="whole" allowBlank="1" showInputMessage="1" showErrorMessage="1" sqref="B5">
      <formula1>0</formula1>
      <formula2>120</formula2>
    </dataValidation>
    <dataValidation type="list" allowBlank="1" showInputMessage="1" showErrorMessage="1" sqref="B3">
      <formula1>"1,2,3,4,5,6,7,8,9,10,11,12,13,14,15,16,17,18,19,20,21"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Beeinflussung!$A$44:$A$110</xm:f>
          </x14:formula1>
          <xm:sqref>A12:B14</xm:sqref>
        </x14:dataValidation>
        <x14:dataValidation type="list" allowBlank="1" showInputMessage="1" showErrorMessage="1">
          <x14:formula1>
            <xm:f>Beeinflussung!$A$111:$A$122</xm:f>
          </x14:formula1>
          <xm:sqref>A17:B20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workbookViewId="0">
      <selection activeCell="D31" sqref="D31"/>
    </sheetView>
  </sheetViews>
  <sheetFormatPr baseColWidth="10" defaultRowHeight="15" x14ac:dyDescent="0.25"/>
  <cols>
    <col min="1" max="1" width="22.85546875" bestFit="1" customWidth="1"/>
    <col min="2" max="2" width="13" bestFit="1" customWidth="1"/>
    <col min="3" max="4" width="14.140625" bestFit="1" customWidth="1"/>
    <col min="5" max="5" width="17.7109375" bestFit="1" customWidth="1"/>
    <col min="6" max="6" width="12.42578125" bestFit="1" customWidth="1"/>
    <col min="8" max="8" width="25" bestFit="1" customWidth="1"/>
    <col min="9" max="9" width="47.42578125" bestFit="1" customWidth="1"/>
    <col min="10" max="10" width="14" bestFit="1" customWidth="1"/>
    <col min="11" max="11" width="24.140625" customWidth="1"/>
    <col min="12" max="12" width="21" bestFit="1" customWidth="1"/>
    <col min="13" max="13" width="22.85546875" style="6" bestFit="1" customWidth="1"/>
    <col min="14" max="14" width="13" bestFit="1" customWidth="1"/>
    <col min="15" max="15" width="3" bestFit="1" customWidth="1"/>
    <col min="16" max="16" width="14.140625" bestFit="1" customWidth="1"/>
  </cols>
  <sheetData>
    <row r="1" spans="1:13" ht="15" customHeight="1" x14ac:dyDescent="0.25">
      <c r="A1" s="74" t="s">
        <v>163</v>
      </c>
      <c r="B1" s="74"/>
      <c r="C1" s="74"/>
      <c r="D1" s="76"/>
      <c r="E1" s="76"/>
      <c r="F1" s="76"/>
    </row>
    <row r="2" spans="1:13" ht="15" customHeight="1" x14ac:dyDescent="0.25">
      <c r="A2" s="74"/>
      <c r="B2" s="74"/>
      <c r="C2" s="74"/>
      <c r="D2" s="76"/>
      <c r="E2" s="76"/>
      <c r="F2" s="76"/>
      <c r="G2" s="9"/>
      <c r="H2" s="9"/>
      <c r="I2" s="9"/>
      <c r="J2" s="9"/>
      <c r="K2" s="9"/>
      <c r="L2" s="9"/>
    </row>
    <row r="3" spans="1:13" ht="15" customHeight="1" x14ac:dyDescent="0.25">
      <c r="A3" s="18" t="s">
        <v>35</v>
      </c>
      <c r="B3" s="18" t="s">
        <v>36</v>
      </c>
      <c r="C3" s="18" t="s">
        <v>37</v>
      </c>
      <c r="D3" s="76"/>
      <c r="E3" s="76"/>
      <c r="F3" s="76"/>
      <c r="G3" s="9"/>
      <c r="H3" s="9"/>
      <c r="I3" s="9"/>
      <c r="J3" s="9"/>
      <c r="K3" s="9"/>
      <c r="L3" s="9"/>
      <c r="M3"/>
    </row>
    <row r="4" spans="1:13" x14ac:dyDescent="0.25">
      <c r="A4" s="11" t="s">
        <v>15</v>
      </c>
      <c r="B4" s="12" t="s">
        <v>25</v>
      </c>
      <c r="C4" s="13">
        <v>21</v>
      </c>
      <c r="D4" s="76"/>
      <c r="E4" s="76"/>
      <c r="F4" s="76"/>
      <c r="G4" s="9"/>
      <c r="H4" s="9"/>
      <c r="I4" s="9"/>
      <c r="J4" s="9"/>
      <c r="K4" s="9"/>
      <c r="L4" s="9"/>
      <c r="M4"/>
    </row>
    <row r="5" spans="1:13" x14ac:dyDescent="0.25">
      <c r="A5" s="125" t="s">
        <v>26</v>
      </c>
      <c r="B5" s="14" t="s">
        <v>16</v>
      </c>
      <c r="C5" s="15">
        <v>20</v>
      </c>
      <c r="D5" s="76"/>
      <c r="E5" s="76"/>
      <c r="F5" s="76"/>
      <c r="G5" s="9"/>
      <c r="H5" s="9"/>
      <c r="I5" s="9"/>
      <c r="J5" s="9"/>
      <c r="K5" s="9"/>
      <c r="L5" s="9"/>
      <c r="M5"/>
    </row>
    <row r="6" spans="1:13" x14ac:dyDescent="0.25">
      <c r="A6" s="126"/>
      <c r="B6" s="14" t="s">
        <v>16</v>
      </c>
      <c r="C6" s="15">
        <v>19</v>
      </c>
      <c r="D6" s="76"/>
      <c r="E6" s="76"/>
      <c r="F6" s="76"/>
      <c r="G6" s="9"/>
      <c r="H6" s="9"/>
      <c r="I6" s="9"/>
      <c r="J6" s="9"/>
      <c r="K6" s="9"/>
      <c r="L6" s="9"/>
      <c r="M6"/>
    </row>
    <row r="7" spans="1:13" x14ac:dyDescent="0.25">
      <c r="A7" s="123" t="s">
        <v>27</v>
      </c>
      <c r="B7" s="16" t="s">
        <v>17</v>
      </c>
      <c r="C7" s="17">
        <v>18</v>
      </c>
      <c r="D7" s="76"/>
      <c r="E7" s="76"/>
      <c r="F7" s="76"/>
      <c r="G7" s="9"/>
      <c r="H7" s="9"/>
      <c r="I7" s="9"/>
      <c r="J7" s="9"/>
      <c r="K7" s="9"/>
      <c r="L7" s="9"/>
      <c r="M7"/>
    </row>
    <row r="8" spans="1:13" x14ac:dyDescent="0.25">
      <c r="A8" s="124"/>
      <c r="B8" s="16" t="s">
        <v>17</v>
      </c>
      <c r="C8" s="17">
        <v>17</v>
      </c>
      <c r="D8" s="76"/>
      <c r="E8" s="76"/>
      <c r="F8" s="76"/>
      <c r="G8" s="9"/>
      <c r="H8" s="9"/>
      <c r="I8" s="9"/>
      <c r="J8" s="9"/>
      <c r="K8" s="9"/>
      <c r="L8" s="9"/>
      <c r="M8"/>
    </row>
    <row r="9" spans="1:13" x14ac:dyDescent="0.25">
      <c r="A9" s="125" t="s">
        <v>28</v>
      </c>
      <c r="B9" s="14" t="s">
        <v>18</v>
      </c>
      <c r="C9" s="15">
        <v>16</v>
      </c>
      <c r="D9" s="76"/>
      <c r="E9" s="76"/>
      <c r="F9" s="76"/>
      <c r="G9" s="9"/>
      <c r="H9" s="9"/>
      <c r="I9" s="9"/>
      <c r="J9" s="9"/>
      <c r="K9" s="9"/>
      <c r="L9" s="9"/>
      <c r="M9"/>
    </row>
    <row r="10" spans="1:13" x14ac:dyDescent="0.25">
      <c r="A10" s="126"/>
      <c r="B10" s="14" t="s">
        <v>18</v>
      </c>
      <c r="C10" s="15">
        <v>15</v>
      </c>
      <c r="D10" s="76"/>
      <c r="E10" s="76"/>
      <c r="F10" s="76"/>
      <c r="G10" s="9"/>
      <c r="H10" s="9"/>
      <c r="I10" s="9"/>
      <c r="J10" s="9"/>
      <c r="K10" s="9"/>
      <c r="L10" s="9"/>
      <c r="M10"/>
    </row>
    <row r="11" spans="1:13" x14ac:dyDescent="0.25">
      <c r="A11" s="123" t="s">
        <v>29</v>
      </c>
      <c r="B11" s="16" t="s">
        <v>19</v>
      </c>
      <c r="C11" s="17">
        <v>14</v>
      </c>
      <c r="D11" s="76"/>
      <c r="E11" s="76"/>
      <c r="F11" s="76"/>
      <c r="G11" s="9"/>
      <c r="H11" s="9"/>
      <c r="I11" s="9"/>
      <c r="J11" s="9"/>
      <c r="K11" s="9"/>
      <c r="L11" s="9"/>
      <c r="M11"/>
    </row>
    <row r="12" spans="1:13" x14ac:dyDescent="0.25">
      <c r="A12" s="124"/>
      <c r="B12" s="16" t="s">
        <v>19</v>
      </c>
      <c r="C12" s="17">
        <v>13</v>
      </c>
      <c r="D12" s="76"/>
      <c r="E12" s="76"/>
      <c r="F12" s="76"/>
      <c r="G12" s="9"/>
      <c r="H12" s="9"/>
      <c r="I12" s="9"/>
      <c r="J12" s="9"/>
      <c r="K12" s="9"/>
      <c r="L12" s="9"/>
      <c r="M12"/>
    </row>
    <row r="13" spans="1:13" x14ac:dyDescent="0.25">
      <c r="A13" s="125" t="s">
        <v>12</v>
      </c>
      <c r="B13" s="14" t="s">
        <v>20</v>
      </c>
      <c r="C13" s="15">
        <v>12</v>
      </c>
      <c r="D13" s="76"/>
      <c r="E13" s="76"/>
      <c r="F13" s="76"/>
      <c r="G13" s="9"/>
      <c r="H13" s="9"/>
      <c r="I13" s="9"/>
      <c r="J13" s="9"/>
      <c r="K13" s="9"/>
      <c r="L13" s="9"/>
      <c r="M13"/>
    </row>
    <row r="14" spans="1:13" x14ac:dyDescent="0.25">
      <c r="A14" s="126"/>
      <c r="B14" s="14" t="s">
        <v>20</v>
      </c>
      <c r="C14" s="15">
        <v>11</v>
      </c>
      <c r="D14" s="76"/>
      <c r="E14" s="76"/>
      <c r="F14" s="76"/>
      <c r="G14" s="9"/>
      <c r="H14" s="9"/>
      <c r="I14" s="9"/>
      <c r="J14" s="9"/>
      <c r="K14" s="9"/>
      <c r="L14" s="9"/>
      <c r="M14"/>
    </row>
    <row r="15" spans="1:13" ht="15" customHeight="1" x14ac:dyDescent="0.25">
      <c r="A15" s="123" t="s">
        <v>30</v>
      </c>
      <c r="B15" s="16" t="s">
        <v>21</v>
      </c>
      <c r="C15" s="17">
        <v>10</v>
      </c>
      <c r="D15" s="76"/>
      <c r="E15" s="76"/>
      <c r="F15" s="76"/>
      <c r="G15" s="9"/>
      <c r="H15" s="9"/>
      <c r="I15" s="9"/>
      <c r="J15" s="9"/>
      <c r="K15" s="9"/>
      <c r="L15" s="9"/>
      <c r="M15"/>
    </row>
    <row r="16" spans="1:13" x14ac:dyDescent="0.25">
      <c r="A16" s="124"/>
      <c r="B16" s="16" t="s">
        <v>21</v>
      </c>
      <c r="C16" s="17">
        <v>9</v>
      </c>
      <c r="D16" s="76"/>
      <c r="E16" s="76"/>
      <c r="F16" s="76"/>
      <c r="G16" s="9"/>
      <c r="H16" s="9"/>
      <c r="I16" s="9"/>
      <c r="J16" s="9"/>
      <c r="K16" s="9"/>
      <c r="L16" s="9"/>
      <c r="M16"/>
    </row>
    <row r="17" spans="1:13" x14ac:dyDescent="0.25">
      <c r="A17" s="125" t="s">
        <v>31</v>
      </c>
      <c r="B17" s="14" t="s">
        <v>22</v>
      </c>
      <c r="C17" s="15">
        <v>8</v>
      </c>
      <c r="D17" s="76"/>
      <c r="E17" s="76"/>
      <c r="F17" s="76"/>
      <c r="G17" s="9"/>
      <c r="H17" s="9"/>
      <c r="I17" s="9"/>
      <c r="J17" s="9"/>
      <c r="K17" s="9"/>
      <c r="L17" s="9"/>
      <c r="M17"/>
    </row>
    <row r="18" spans="1:13" x14ac:dyDescent="0.25">
      <c r="A18" s="126"/>
      <c r="B18" s="14" t="s">
        <v>22</v>
      </c>
      <c r="C18" s="15">
        <v>7</v>
      </c>
      <c r="D18" s="76"/>
      <c r="E18" s="76"/>
      <c r="F18" s="76"/>
      <c r="G18" s="9"/>
      <c r="H18" s="9"/>
      <c r="I18" s="9"/>
      <c r="J18" s="9"/>
      <c r="K18" s="9"/>
      <c r="L18" s="9"/>
      <c r="M18"/>
    </row>
    <row r="19" spans="1:13" x14ac:dyDescent="0.25">
      <c r="A19" s="123" t="s">
        <v>32</v>
      </c>
      <c r="B19" s="16" t="s">
        <v>23</v>
      </c>
      <c r="C19" s="17">
        <v>6</v>
      </c>
      <c r="D19" s="76"/>
      <c r="E19" s="76"/>
      <c r="F19" s="76"/>
      <c r="G19" s="9"/>
      <c r="H19" s="9"/>
      <c r="I19" s="9"/>
      <c r="J19" s="9"/>
      <c r="K19" s="9"/>
      <c r="L19" s="9"/>
      <c r="M19"/>
    </row>
    <row r="20" spans="1:13" x14ac:dyDescent="0.25">
      <c r="A20" s="124"/>
      <c r="B20" s="16" t="s">
        <v>23</v>
      </c>
      <c r="C20" s="17">
        <v>5</v>
      </c>
      <c r="D20" s="76"/>
      <c r="E20" s="76"/>
      <c r="F20" s="76"/>
      <c r="G20" s="9"/>
      <c r="H20" s="9"/>
      <c r="I20" s="9"/>
      <c r="J20" s="9"/>
      <c r="K20" s="9"/>
      <c r="L20" s="9"/>
      <c r="M20"/>
    </row>
    <row r="21" spans="1:13" x14ac:dyDescent="0.25">
      <c r="A21" s="125" t="s">
        <v>33</v>
      </c>
      <c r="B21" s="14" t="s">
        <v>0</v>
      </c>
      <c r="C21" s="15">
        <v>4</v>
      </c>
      <c r="D21" s="76"/>
      <c r="E21" s="76"/>
      <c r="F21" s="76"/>
      <c r="G21" s="9"/>
      <c r="H21" s="9"/>
      <c r="I21" s="9"/>
      <c r="J21" s="9"/>
      <c r="K21" s="9"/>
      <c r="L21" s="9"/>
      <c r="M21"/>
    </row>
    <row r="22" spans="1:13" x14ac:dyDescent="0.25">
      <c r="A22" s="126"/>
      <c r="B22" s="14" t="s">
        <v>0</v>
      </c>
      <c r="C22" s="15">
        <v>3</v>
      </c>
      <c r="D22" s="76"/>
      <c r="E22" s="76"/>
      <c r="F22" s="76"/>
      <c r="G22" s="9"/>
      <c r="H22" s="9"/>
      <c r="I22" s="9"/>
      <c r="J22" s="9"/>
      <c r="K22" s="9"/>
      <c r="L22" s="9"/>
      <c r="M22"/>
    </row>
    <row r="23" spans="1:13" x14ac:dyDescent="0.25">
      <c r="A23" s="123" t="s">
        <v>34</v>
      </c>
      <c r="B23" s="16" t="s">
        <v>24</v>
      </c>
      <c r="C23" s="17">
        <v>2</v>
      </c>
      <c r="D23" s="76"/>
      <c r="E23" s="76"/>
      <c r="F23" s="76"/>
      <c r="G23" s="9"/>
      <c r="H23" s="9"/>
      <c r="I23" s="9"/>
      <c r="J23" s="9"/>
      <c r="K23" s="9"/>
      <c r="L23" s="9"/>
      <c r="M23"/>
    </row>
    <row r="24" spans="1:13" x14ac:dyDescent="0.25">
      <c r="A24" s="124"/>
      <c r="B24" s="16" t="s">
        <v>24</v>
      </c>
      <c r="C24" s="17">
        <v>1</v>
      </c>
      <c r="D24" s="76"/>
      <c r="E24" s="76"/>
      <c r="F24" s="76"/>
      <c r="G24" s="9"/>
      <c r="H24" s="9"/>
      <c r="I24" s="9"/>
      <c r="J24" s="9"/>
      <c r="K24" s="9"/>
      <c r="L24" s="9"/>
      <c r="M24"/>
    </row>
    <row r="25" spans="1:13" x14ac:dyDescent="0.25">
      <c r="D25" s="76"/>
      <c r="E25" s="76"/>
      <c r="F25" s="76"/>
      <c r="G25" s="9"/>
      <c r="H25" s="9"/>
      <c r="I25" s="9"/>
      <c r="J25" s="9"/>
      <c r="K25" s="9"/>
      <c r="L25" s="9"/>
      <c r="M25"/>
    </row>
    <row r="26" spans="1:13" x14ac:dyDescent="0.25">
      <c r="A26" s="5"/>
      <c r="D26" s="76"/>
      <c r="E26" s="76"/>
      <c r="F26" s="76"/>
      <c r="G26" s="9"/>
      <c r="H26" s="9"/>
      <c r="I26" s="9"/>
      <c r="J26" s="9"/>
      <c r="K26" s="9"/>
      <c r="L26" s="9"/>
      <c r="M26"/>
    </row>
    <row r="27" spans="1:13" ht="15" customHeight="1" x14ac:dyDescent="0.25">
      <c r="A27" s="75"/>
      <c r="B27" s="75"/>
      <c r="C27" s="75"/>
      <c r="D27" s="76"/>
      <c r="E27" s="76"/>
      <c r="F27" s="76"/>
      <c r="G27" s="9"/>
      <c r="H27" s="9"/>
      <c r="I27" s="9"/>
      <c r="J27" s="9"/>
      <c r="K27" s="9"/>
      <c r="L27" s="9"/>
      <c r="M27"/>
    </row>
    <row r="28" spans="1:13" x14ac:dyDescent="0.25">
      <c r="A28" s="75"/>
      <c r="B28" s="75"/>
      <c r="C28" s="75"/>
      <c r="D28" s="76"/>
      <c r="E28" s="76"/>
      <c r="F28" s="76"/>
      <c r="G28" s="9"/>
      <c r="H28" s="9"/>
      <c r="I28" s="9"/>
      <c r="J28" s="9"/>
      <c r="K28" s="9"/>
      <c r="L28" s="9"/>
      <c r="M28"/>
    </row>
    <row r="29" spans="1:13" x14ac:dyDescent="0.25">
      <c r="A29" s="75"/>
      <c r="B29" s="75"/>
      <c r="C29" s="75"/>
      <c r="D29" s="76"/>
      <c r="E29" s="76"/>
      <c r="F29" s="76"/>
      <c r="G29" s="9"/>
      <c r="H29" s="9"/>
      <c r="I29" s="9"/>
      <c r="J29" s="9"/>
      <c r="K29" s="9"/>
      <c r="L29" s="9"/>
      <c r="M29"/>
    </row>
    <row r="30" spans="1:13" x14ac:dyDescent="0.25">
      <c r="A30" s="75"/>
      <c r="B30" s="75"/>
      <c r="C30" s="75"/>
      <c r="D30" s="76"/>
      <c r="E30" s="76"/>
      <c r="F30" s="76"/>
      <c r="G30" s="9"/>
      <c r="H30" s="9"/>
      <c r="I30" s="9"/>
      <c r="J30" s="9"/>
      <c r="K30" s="9"/>
      <c r="L30" s="9"/>
      <c r="M30"/>
    </row>
    <row r="31" spans="1:13" x14ac:dyDescent="0.25">
      <c r="A31" s="75"/>
      <c r="B31" s="75"/>
      <c r="C31" s="75"/>
      <c r="D31" s="76"/>
      <c r="E31" s="76"/>
      <c r="F31" s="76"/>
      <c r="G31" s="9"/>
      <c r="H31" s="9"/>
      <c r="I31" s="9"/>
      <c r="J31" s="9"/>
      <c r="K31" s="9"/>
      <c r="L31" s="9"/>
      <c r="M31"/>
    </row>
    <row r="32" spans="1:13" x14ac:dyDescent="0.25">
      <c r="A32" s="75"/>
      <c r="B32" s="75"/>
      <c r="C32" s="75"/>
      <c r="D32" s="76"/>
      <c r="E32" s="76"/>
      <c r="F32" s="76"/>
      <c r="G32" s="9"/>
      <c r="H32" s="9"/>
      <c r="I32" s="9"/>
      <c r="J32" s="9"/>
      <c r="K32" s="9"/>
      <c r="L32" s="9"/>
      <c r="M32"/>
    </row>
    <row r="33" spans="1:13" x14ac:dyDescent="0.25">
      <c r="A33" s="75"/>
      <c r="B33" s="75"/>
      <c r="C33" s="75"/>
      <c r="D33" s="76"/>
      <c r="E33" s="76"/>
      <c r="F33" s="76"/>
      <c r="G33" s="9"/>
      <c r="H33" s="9"/>
      <c r="I33" s="9"/>
      <c r="J33" s="9"/>
      <c r="K33" s="9"/>
      <c r="L33" s="9"/>
      <c r="M33"/>
    </row>
    <row r="34" spans="1:13" x14ac:dyDescent="0.25">
      <c r="A34" s="75"/>
      <c r="B34" s="75"/>
      <c r="C34" s="75"/>
      <c r="D34" s="76"/>
      <c r="E34" s="76"/>
      <c r="F34" s="76"/>
      <c r="G34" s="9"/>
      <c r="H34" s="9"/>
      <c r="I34" s="9"/>
      <c r="J34" s="9"/>
      <c r="K34" s="9"/>
      <c r="L34" s="9"/>
      <c r="M34"/>
    </row>
    <row r="35" spans="1:13" x14ac:dyDescent="0.25">
      <c r="A35" s="75"/>
      <c r="B35" s="75"/>
      <c r="C35" s="75"/>
      <c r="D35" s="76"/>
      <c r="E35" s="76"/>
      <c r="F35" s="76"/>
      <c r="G35" s="9"/>
      <c r="H35" s="9"/>
      <c r="I35" s="9"/>
      <c r="J35" s="9"/>
      <c r="K35" s="9"/>
      <c r="L35" s="9"/>
      <c r="M35"/>
    </row>
    <row r="36" spans="1:13" x14ac:dyDescent="0.25">
      <c r="A36" s="75"/>
      <c r="B36" s="75"/>
      <c r="C36" s="75"/>
      <c r="D36" s="76"/>
      <c r="E36" s="76"/>
      <c r="F36" s="76"/>
      <c r="G36" s="9"/>
      <c r="H36" s="9"/>
      <c r="I36" s="9"/>
      <c r="J36" s="9"/>
      <c r="K36" s="9"/>
      <c r="L36" s="9"/>
      <c r="M36"/>
    </row>
    <row r="37" spans="1:13" x14ac:dyDescent="0.25">
      <c r="C37" s="10"/>
      <c r="D37" s="10"/>
      <c r="M37"/>
    </row>
    <row r="38" spans="1:13" x14ac:dyDescent="0.25">
      <c r="C38" s="10"/>
      <c r="D38" s="10"/>
      <c r="M38"/>
    </row>
    <row r="39" spans="1:13" x14ac:dyDescent="0.25">
      <c r="A39" s="7"/>
      <c r="B39" s="8"/>
      <c r="C39" s="10"/>
      <c r="D39" s="10"/>
      <c r="M39"/>
    </row>
    <row r="40" spans="1:13" x14ac:dyDescent="0.25">
      <c r="A40" s="7"/>
      <c r="B40" s="8"/>
      <c r="F40" s="6"/>
      <c r="M40"/>
    </row>
    <row r="41" spans="1:13" x14ac:dyDescent="0.25">
      <c r="F41" s="6"/>
      <c r="M41"/>
    </row>
    <row r="42" spans="1:13" x14ac:dyDescent="0.25">
      <c r="F42" s="6"/>
      <c r="M42"/>
    </row>
    <row r="43" spans="1:13" x14ac:dyDescent="0.25">
      <c r="F43" s="6"/>
      <c r="M43"/>
    </row>
    <row r="44" spans="1:13" x14ac:dyDescent="0.25">
      <c r="F44" s="6"/>
      <c r="M44"/>
    </row>
    <row r="45" spans="1:13" x14ac:dyDescent="0.25">
      <c r="F45" s="6"/>
      <c r="M45"/>
    </row>
    <row r="46" spans="1:13" x14ac:dyDescent="0.25">
      <c r="F46" s="6"/>
      <c r="M46"/>
    </row>
    <row r="47" spans="1:13" x14ac:dyDescent="0.25">
      <c r="F47" s="6"/>
      <c r="M47"/>
    </row>
    <row r="48" spans="1:13" x14ac:dyDescent="0.25">
      <c r="F48" s="6"/>
      <c r="M48"/>
    </row>
    <row r="49" spans="6:13" x14ac:dyDescent="0.25">
      <c r="F49" s="6"/>
      <c r="M49"/>
    </row>
    <row r="50" spans="6:13" x14ac:dyDescent="0.25">
      <c r="F50" s="6"/>
      <c r="M50"/>
    </row>
    <row r="67" spans="2:9" x14ac:dyDescent="0.25">
      <c r="B67" s="7"/>
    </row>
    <row r="68" spans="2:9" x14ac:dyDescent="0.25">
      <c r="I68" s="8"/>
    </row>
    <row r="69" spans="2:9" x14ac:dyDescent="0.25">
      <c r="I69" s="7"/>
    </row>
    <row r="70" spans="2:9" x14ac:dyDescent="0.25">
      <c r="I70" s="7"/>
    </row>
  </sheetData>
  <mergeCells count="10">
    <mergeCell ref="A23:A2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"/>
  <sheetViews>
    <sheetView topLeftCell="A88" zoomScaleNormal="100" workbookViewId="0">
      <selection activeCell="AB10" sqref="AB10"/>
    </sheetView>
  </sheetViews>
  <sheetFormatPr baseColWidth="10" defaultRowHeight="15" x14ac:dyDescent="0.25"/>
  <cols>
    <col min="1" max="1" width="41" customWidth="1"/>
    <col min="2" max="4" width="3.7109375" bestFit="1" customWidth="1"/>
    <col min="5" max="5" width="4" bestFit="1" customWidth="1"/>
    <col min="6" max="26" width="3.7109375" bestFit="1" customWidth="1"/>
    <col min="28" max="28" width="89.7109375" bestFit="1" customWidth="1"/>
    <col min="30" max="30" width="21.42578125" customWidth="1"/>
  </cols>
  <sheetData>
    <row r="1" spans="1:30" ht="226.5" x14ac:dyDescent="0.25">
      <c r="B1" s="28" t="s">
        <v>1</v>
      </c>
      <c r="C1" s="28" t="s">
        <v>13</v>
      </c>
      <c r="D1" s="28" t="s">
        <v>8</v>
      </c>
      <c r="E1" s="28" t="s">
        <v>14</v>
      </c>
      <c r="F1" s="28" t="s">
        <v>7</v>
      </c>
      <c r="G1" s="29" t="s">
        <v>148</v>
      </c>
      <c r="H1" s="29" t="s">
        <v>59</v>
      </c>
      <c r="I1" s="29" t="s">
        <v>92</v>
      </c>
      <c r="J1" s="29" t="s">
        <v>93</v>
      </c>
      <c r="K1" s="29" t="s">
        <v>60</v>
      </c>
      <c r="L1" s="30" t="s">
        <v>42</v>
      </c>
      <c r="M1" s="30" t="s">
        <v>43</v>
      </c>
      <c r="N1" s="30" t="s">
        <v>2</v>
      </c>
      <c r="O1" s="30" t="s">
        <v>44</v>
      </c>
      <c r="P1" s="30" t="s">
        <v>61</v>
      </c>
      <c r="Q1" s="31" t="s">
        <v>62</v>
      </c>
      <c r="R1" s="31" t="s">
        <v>94</v>
      </c>
      <c r="S1" s="31" t="s">
        <v>63</v>
      </c>
      <c r="T1" s="31" t="s">
        <v>49</v>
      </c>
      <c r="U1" s="31" t="s">
        <v>11</v>
      </c>
      <c r="V1" s="32" t="s">
        <v>6</v>
      </c>
      <c r="W1" s="32" t="s">
        <v>51</v>
      </c>
      <c r="X1" s="32" t="s">
        <v>52</v>
      </c>
      <c r="Y1" s="32" t="s">
        <v>57</v>
      </c>
      <c r="Z1" s="32" t="s">
        <v>56</v>
      </c>
    </row>
    <row r="2" spans="1:30" ht="15" customHeight="1" x14ac:dyDescent="0.25">
      <c r="A2" s="25" t="s">
        <v>95</v>
      </c>
      <c r="B2" s="38">
        <v>1</v>
      </c>
      <c r="C2" s="36">
        <v>1</v>
      </c>
      <c r="D2" s="36">
        <v>1</v>
      </c>
      <c r="E2" s="36">
        <v>0</v>
      </c>
      <c r="F2" s="36">
        <v>1</v>
      </c>
      <c r="G2" s="38">
        <v>2</v>
      </c>
      <c r="H2" s="36">
        <v>2</v>
      </c>
      <c r="I2" s="36">
        <v>1</v>
      </c>
      <c r="J2" s="36">
        <v>2</v>
      </c>
      <c r="K2" s="33">
        <v>2</v>
      </c>
      <c r="L2" s="36">
        <v>2</v>
      </c>
      <c r="M2" s="36">
        <v>2</v>
      </c>
      <c r="N2" s="36">
        <v>2</v>
      </c>
      <c r="O2" s="36">
        <v>2</v>
      </c>
      <c r="P2" s="36">
        <v>2</v>
      </c>
      <c r="Q2" s="38">
        <v>2</v>
      </c>
      <c r="R2" s="36">
        <v>1</v>
      </c>
      <c r="S2" s="36">
        <v>2</v>
      </c>
      <c r="T2" s="36">
        <v>2</v>
      </c>
      <c r="U2" s="33">
        <v>2</v>
      </c>
      <c r="V2" s="36">
        <v>1</v>
      </c>
      <c r="W2" s="36">
        <v>1</v>
      </c>
      <c r="X2" s="36">
        <v>1</v>
      </c>
      <c r="Y2" s="36">
        <v>1</v>
      </c>
      <c r="Z2" s="33">
        <v>1</v>
      </c>
      <c r="AA2" s="33">
        <f>SUM(B2:Z2)</f>
        <v>37</v>
      </c>
      <c r="AB2" s="127" t="s">
        <v>264</v>
      </c>
      <c r="AC2" s="128"/>
      <c r="AD2" s="1"/>
    </row>
    <row r="3" spans="1:30" x14ac:dyDescent="0.25">
      <c r="A3" s="38" t="s">
        <v>145</v>
      </c>
      <c r="B3" s="38">
        <v>15</v>
      </c>
      <c r="C3" s="36">
        <v>15</v>
      </c>
      <c r="D3" s="36">
        <v>15</v>
      </c>
      <c r="E3" s="36">
        <v>15</v>
      </c>
      <c r="F3" s="33">
        <v>15</v>
      </c>
      <c r="G3" s="38">
        <v>15</v>
      </c>
      <c r="H3" s="36">
        <v>15</v>
      </c>
      <c r="I3" s="36">
        <v>15</v>
      </c>
      <c r="J3" s="36">
        <v>15</v>
      </c>
      <c r="K3" s="33">
        <v>25</v>
      </c>
      <c r="L3" s="38">
        <v>20</v>
      </c>
      <c r="M3" s="36">
        <v>20</v>
      </c>
      <c r="N3" s="36">
        <v>20</v>
      </c>
      <c r="O3" s="36">
        <v>25</v>
      </c>
      <c r="P3" s="33">
        <v>25</v>
      </c>
      <c r="Q3" s="38">
        <v>20</v>
      </c>
      <c r="R3" s="36">
        <v>15</v>
      </c>
      <c r="S3" s="36">
        <v>15</v>
      </c>
      <c r="T3" s="36">
        <v>15</v>
      </c>
      <c r="U3" s="33">
        <v>15</v>
      </c>
      <c r="V3" s="36">
        <v>15</v>
      </c>
      <c r="W3" s="36">
        <v>20</v>
      </c>
      <c r="X3" s="36">
        <v>35</v>
      </c>
      <c r="Y3" s="36">
        <v>10</v>
      </c>
      <c r="Z3" s="33">
        <v>20</v>
      </c>
      <c r="AA3" s="40">
        <f>SUM(B3:Z3)</f>
        <v>450</v>
      </c>
      <c r="AB3" s="127"/>
      <c r="AC3" s="128"/>
    </row>
    <row r="4" spans="1:30" x14ac:dyDescent="0.25">
      <c r="A4" s="27" t="s">
        <v>146</v>
      </c>
      <c r="B4" s="38">
        <v>15</v>
      </c>
      <c r="C4" s="36">
        <v>15</v>
      </c>
      <c r="D4" s="36">
        <v>15</v>
      </c>
      <c r="E4" s="36">
        <v>15</v>
      </c>
      <c r="F4" s="33">
        <v>15</v>
      </c>
      <c r="G4" s="38">
        <v>15</v>
      </c>
      <c r="H4" s="36">
        <v>15</v>
      </c>
      <c r="I4" s="36">
        <v>15</v>
      </c>
      <c r="J4" s="36">
        <v>15</v>
      </c>
      <c r="K4" s="33">
        <v>25</v>
      </c>
      <c r="L4" s="38">
        <v>20</v>
      </c>
      <c r="M4" s="36">
        <v>20</v>
      </c>
      <c r="N4" s="36">
        <v>20</v>
      </c>
      <c r="O4" s="36">
        <v>25</v>
      </c>
      <c r="P4" s="33">
        <v>25</v>
      </c>
      <c r="Q4" s="38">
        <v>20</v>
      </c>
      <c r="R4" s="36">
        <v>15</v>
      </c>
      <c r="S4" s="36">
        <v>15</v>
      </c>
      <c r="T4" s="36">
        <v>15</v>
      </c>
      <c r="U4" s="33">
        <v>15</v>
      </c>
      <c r="V4" s="36">
        <v>15</v>
      </c>
      <c r="W4" s="36">
        <v>20</v>
      </c>
      <c r="X4" s="36">
        <v>35</v>
      </c>
      <c r="Y4" s="36">
        <v>10</v>
      </c>
      <c r="Z4" s="33">
        <v>20</v>
      </c>
      <c r="AA4" s="42">
        <f>SUM(B4:Z4)</f>
        <v>450</v>
      </c>
      <c r="AB4" s="115"/>
      <c r="AC4" s="1"/>
    </row>
    <row r="5" spans="1:30" x14ac:dyDescent="0.25">
      <c r="A5" s="25" t="s">
        <v>98</v>
      </c>
      <c r="B5" s="38">
        <v>20</v>
      </c>
      <c r="C5" s="36">
        <v>20</v>
      </c>
      <c r="D5" s="36">
        <v>20</v>
      </c>
      <c r="E5" s="36">
        <v>20</v>
      </c>
      <c r="F5" s="36">
        <v>0</v>
      </c>
      <c r="G5" s="38">
        <v>0</v>
      </c>
      <c r="H5" s="36">
        <v>0</v>
      </c>
      <c r="I5" s="36">
        <v>0</v>
      </c>
      <c r="J5" s="36">
        <v>0</v>
      </c>
      <c r="K5" s="33">
        <v>0</v>
      </c>
      <c r="L5" s="36">
        <v>0</v>
      </c>
      <c r="M5" s="36">
        <v>0</v>
      </c>
      <c r="N5" s="36">
        <v>0</v>
      </c>
      <c r="O5" s="36">
        <v>0</v>
      </c>
      <c r="P5" s="36">
        <v>0</v>
      </c>
      <c r="Q5" s="38">
        <v>0</v>
      </c>
      <c r="R5" s="36">
        <v>20</v>
      </c>
      <c r="S5" s="36">
        <v>0</v>
      </c>
      <c r="T5" s="36">
        <v>0</v>
      </c>
      <c r="U5" s="33">
        <v>0</v>
      </c>
      <c r="V5" s="36">
        <v>0</v>
      </c>
      <c r="W5" s="36">
        <v>0</v>
      </c>
      <c r="X5" s="36">
        <v>0</v>
      </c>
      <c r="Y5" s="36">
        <v>0</v>
      </c>
      <c r="Z5" s="33">
        <v>0</v>
      </c>
      <c r="AA5" s="33">
        <f t="shared" ref="AA5:AA44" si="0">SUM(B5:Z5)</f>
        <v>100</v>
      </c>
      <c r="AB5" s="1"/>
      <c r="AC5" s="1"/>
    </row>
    <row r="6" spans="1:30" x14ac:dyDescent="0.25">
      <c r="A6" s="26" t="s">
        <v>99</v>
      </c>
      <c r="B6" s="37">
        <v>25</v>
      </c>
      <c r="C6" s="35">
        <v>25</v>
      </c>
      <c r="D6" s="35">
        <v>15</v>
      </c>
      <c r="E6" s="35">
        <v>20</v>
      </c>
      <c r="F6" s="35">
        <v>0</v>
      </c>
      <c r="G6" s="37">
        <v>0</v>
      </c>
      <c r="H6" s="35">
        <v>0</v>
      </c>
      <c r="I6" s="35">
        <v>0</v>
      </c>
      <c r="J6" s="35">
        <v>0</v>
      </c>
      <c r="K6" s="34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7">
        <v>0</v>
      </c>
      <c r="R6" s="35">
        <v>15</v>
      </c>
      <c r="S6" s="35">
        <v>0</v>
      </c>
      <c r="T6" s="35">
        <v>0</v>
      </c>
      <c r="U6" s="34">
        <v>0</v>
      </c>
      <c r="V6" s="35">
        <v>0</v>
      </c>
      <c r="W6" s="35">
        <v>0</v>
      </c>
      <c r="X6" s="35">
        <v>0</v>
      </c>
      <c r="Y6" s="35">
        <v>0</v>
      </c>
      <c r="Z6" s="34">
        <v>0</v>
      </c>
      <c r="AA6" s="34">
        <f t="shared" si="0"/>
        <v>100</v>
      </c>
      <c r="AB6" s="1"/>
      <c r="AC6" s="1"/>
    </row>
    <row r="7" spans="1:30" x14ac:dyDescent="0.25">
      <c r="A7" s="26" t="s">
        <v>100</v>
      </c>
      <c r="B7" s="37">
        <v>15</v>
      </c>
      <c r="C7" s="35">
        <v>15</v>
      </c>
      <c r="D7" s="35">
        <v>25</v>
      </c>
      <c r="E7" s="35">
        <v>20</v>
      </c>
      <c r="F7" s="35">
        <v>0</v>
      </c>
      <c r="G7" s="37">
        <v>0</v>
      </c>
      <c r="H7" s="35">
        <v>0</v>
      </c>
      <c r="I7" s="35">
        <v>0</v>
      </c>
      <c r="J7" s="35">
        <v>0</v>
      </c>
      <c r="K7" s="34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7">
        <v>0</v>
      </c>
      <c r="R7" s="35">
        <v>25</v>
      </c>
      <c r="S7" s="35">
        <v>0</v>
      </c>
      <c r="T7" s="35">
        <v>0</v>
      </c>
      <c r="U7" s="34">
        <v>0</v>
      </c>
      <c r="V7" s="35">
        <v>0</v>
      </c>
      <c r="W7" s="35">
        <v>0</v>
      </c>
      <c r="X7" s="35">
        <v>0</v>
      </c>
      <c r="Y7" s="35">
        <v>0</v>
      </c>
      <c r="Z7" s="34">
        <v>0</v>
      </c>
      <c r="AA7" s="34">
        <f t="shared" si="0"/>
        <v>100</v>
      </c>
      <c r="AB7" s="1"/>
      <c r="AC7" s="1"/>
      <c r="AD7" s="1"/>
    </row>
    <row r="8" spans="1:30" x14ac:dyDescent="0.25">
      <c r="A8" s="27" t="s">
        <v>101</v>
      </c>
      <c r="B8" s="2">
        <v>25</v>
      </c>
      <c r="C8" s="3">
        <v>20</v>
      </c>
      <c r="D8" s="3">
        <v>15</v>
      </c>
      <c r="E8" s="3">
        <v>25</v>
      </c>
      <c r="F8" s="3">
        <v>0</v>
      </c>
      <c r="G8" s="2">
        <v>0</v>
      </c>
      <c r="H8" s="3">
        <v>0</v>
      </c>
      <c r="I8" s="3">
        <v>0</v>
      </c>
      <c r="J8" s="3">
        <v>0</v>
      </c>
      <c r="K8" s="4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2">
        <v>0</v>
      </c>
      <c r="R8" s="3">
        <v>15</v>
      </c>
      <c r="S8" s="3">
        <v>0</v>
      </c>
      <c r="T8" s="3">
        <v>0</v>
      </c>
      <c r="U8" s="4">
        <v>0</v>
      </c>
      <c r="V8" s="3">
        <v>0</v>
      </c>
      <c r="W8" s="3">
        <v>0</v>
      </c>
      <c r="X8" s="3">
        <v>0</v>
      </c>
      <c r="Y8" s="3">
        <v>0</v>
      </c>
      <c r="Z8" s="4">
        <v>0</v>
      </c>
      <c r="AA8" s="4">
        <f t="shared" si="0"/>
        <v>100</v>
      </c>
      <c r="AB8" s="1"/>
      <c r="AC8" s="1"/>
      <c r="AD8" s="1"/>
    </row>
    <row r="9" spans="1:30" x14ac:dyDescent="0.25">
      <c r="A9" s="25" t="s">
        <v>103</v>
      </c>
      <c r="B9" s="38">
        <v>0</v>
      </c>
      <c r="C9" s="36">
        <v>0</v>
      </c>
      <c r="D9" s="36">
        <v>0</v>
      </c>
      <c r="E9" s="36">
        <v>25</v>
      </c>
      <c r="F9" s="36">
        <v>0</v>
      </c>
      <c r="G9" s="38">
        <v>0</v>
      </c>
      <c r="H9" s="36">
        <v>0</v>
      </c>
      <c r="I9" s="36">
        <v>5</v>
      </c>
      <c r="J9" s="36">
        <v>0</v>
      </c>
      <c r="K9" s="33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8">
        <v>0</v>
      </c>
      <c r="R9" s="36">
        <v>0</v>
      </c>
      <c r="S9" s="36">
        <v>0</v>
      </c>
      <c r="T9" s="36">
        <v>0</v>
      </c>
      <c r="U9" s="33">
        <v>0</v>
      </c>
      <c r="V9" s="36">
        <v>0</v>
      </c>
      <c r="W9" s="36">
        <v>0</v>
      </c>
      <c r="X9" s="36">
        <v>0</v>
      </c>
      <c r="Y9" s="36">
        <v>0</v>
      </c>
      <c r="Z9" s="33">
        <v>0</v>
      </c>
      <c r="AA9" s="33">
        <f t="shared" si="0"/>
        <v>30</v>
      </c>
      <c r="AB9" s="1"/>
      <c r="AC9" s="1"/>
      <c r="AD9" s="1"/>
    </row>
    <row r="10" spans="1:30" x14ac:dyDescent="0.25">
      <c r="A10" s="26" t="s">
        <v>104</v>
      </c>
      <c r="B10" s="37">
        <v>0</v>
      </c>
      <c r="C10" s="35">
        <v>0</v>
      </c>
      <c r="D10" s="35">
        <v>0</v>
      </c>
      <c r="E10" s="35">
        <v>20</v>
      </c>
      <c r="F10" s="35">
        <v>0</v>
      </c>
      <c r="G10" s="37">
        <v>0</v>
      </c>
      <c r="H10" s="35">
        <v>0</v>
      </c>
      <c r="I10" s="35">
        <v>10</v>
      </c>
      <c r="J10" s="35">
        <v>0</v>
      </c>
      <c r="K10" s="34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7">
        <v>0</v>
      </c>
      <c r="R10" s="35">
        <v>0</v>
      </c>
      <c r="S10" s="35">
        <v>0</v>
      </c>
      <c r="T10" s="35">
        <v>0</v>
      </c>
      <c r="U10" s="34">
        <v>0</v>
      </c>
      <c r="V10" s="35">
        <v>0</v>
      </c>
      <c r="W10" s="35">
        <v>0</v>
      </c>
      <c r="X10" s="35">
        <v>0</v>
      </c>
      <c r="Y10" s="35">
        <v>0</v>
      </c>
      <c r="Z10" s="34">
        <v>0</v>
      </c>
      <c r="AA10" s="34">
        <f t="shared" si="0"/>
        <v>30</v>
      </c>
      <c r="AB10" s="1"/>
      <c r="AC10" s="1"/>
      <c r="AD10" s="1"/>
    </row>
    <row r="11" spans="1:30" x14ac:dyDescent="0.25">
      <c r="A11" s="26" t="s">
        <v>102</v>
      </c>
      <c r="B11" s="37">
        <v>0</v>
      </c>
      <c r="C11" s="35">
        <v>0</v>
      </c>
      <c r="D11" s="35">
        <v>0</v>
      </c>
      <c r="E11" s="35">
        <v>15</v>
      </c>
      <c r="F11" s="35">
        <v>0</v>
      </c>
      <c r="G11" s="37">
        <v>0</v>
      </c>
      <c r="H11" s="35">
        <v>0</v>
      </c>
      <c r="I11" s="35">
        <v>15</v>
      </c>
      <c r="J11" s="35">
        <v>0</v>
      </c>
      <c r="K11" s="34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7">
        <v>0</v>
      </c>
      <c r="R11" s="35">
        <v>0</v>
      </c>
      <c r="S11" s="35">
        <v>0</v>
      </c>
      <c r="T11" s="35">
        <v>0</v>
      </c>
      <c r="U11" s="34">
        <v>0</v>
      </c>
      <c r="V11" s="35">
        <v>0</v>
      </c>
      <c r="W11" s="35">
        <v>0</v>
      </c>
      <c r="X11" s="35">
        <v>0</v>
      </c>
      <c r="Y11" s="35">
        <v>0</v>
      </c>
      <c r="Z11" s="34">
        <v>0</v>
      </c>
      <c r="AA11" s="34">
        <f t="shared" si="0"/>
        <v>30</v>
      </c>
      <c r="AB11" s="1"/>
      <c r="AC11" s="1"/>
      <c r="AD11" s="1"/>
    </row>
    <row r="12" spans="1:30" x14ac:dyDescent="0.25">
      <c r="A12" s="26" t="s">
        <v>105</v>
      </c>
      <c r="B12" s="37">
        <v>0</v>
      </c>
      <c r="C12" s="35">
        <v>0</v>
      </c>
      <c r="D12" s="35">
        <v>0</v>
      </c>
      <c r="E12" s="35">
        <v>10</v>
      </c>
      <c r="F12" s="35">
        <v>0</v>
      </c>
      <c r="G12" s="37">
        <v>0</v>
      </c>
      <c r="H12" s="35">
        <v>0</v>
      </c>
      <c r="I12" s="35">
        <v>20</v>
      </c>
      <c r="J12" s="35">
        <v>0</v>
      </c>
      <c r="K12" s="34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7">
        <v>0</v>
      </c>
      <c r="R12" s="35">
        <v>0</v>
      </c>
      <c r="S12" s="35">
        <v>0</v>
      </c>
      <c r="T12" s="35">
        <v>0</v>
      </c>
      <c r="U12" s="34">
        <v>0</v>
      </c>
      <c r="V12" s="35">
        <v>0</v>
      </c>
      <c r="W12" s="35">
        <v>0</v>
      </c>
      <c r="X12" s="35">
        <v>0</v>
      </c>
      <c r="Y12" s="35">
        <v>0</v>
      </c>
      <c r="Z12" s="34">
        <v>0</v>
      </c>
      <c r="AA12" s="34">
        <f t="shared" si="0"/>
        <v>30</v>
      </c>
      <c r="AB12" s="1"/>
      <c r="AC12" s="1"/>
      <c r="AD12" s="1"/>
    </row>
    <row r="13" spans="1:30" x14ac:dyDescent="0.25">
      <c r="A13" s="27" t="s">
        <v>106</v>
      </c>
      <c r="B13" s="2">
        <v>0</v>
      </c>
      <c r="C13" s="3">
        <v>0</v>
      </c>
      <c r="D13" s="3">
        <v>0</v>
      </c>
      <c r="E13" s="3">
        <v>5</v>
      </c>
      <c r="F13" s="3">
        <v>0</v>
      </c>
      <c r="G13" s="2">
        <v>0</v>
      </c>
      <c r="H13" s="3">
        <v>0</v>
      </c>
      <c r="I13" s="3">
        <v>25</v>
      </c>
      <c r="J13" s="3">
        <v>0</v>
      </c>
      <c r="K13" s="4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2">
        <v>0</v>
      </c>
      <c r="R13" s="3">
        <v>0</v>
      </c>
      <c r="S13" s="3">
        <v>0</v>
      </c>
      <c r="T13" s="3">
        <v>0</v>
      </c>
      <c r="U13" s="4">
        <v>0</v>
      </c>
      <c r="V13" s="3">
        <v>0</v>
      </c>
      <c r="W13" s="3">
        <v>0</v>
      </c>
      <c r="X13" s="3">
        <v>0</v>
      </c>
      <c r="Y13" s="3">
        <v>0</v>
      </c>
      <c r="Z13" s="4">
        <v>0</v>
      </c>
      <c r="AA13" s="42">
        <f t="shared" si="0"/>
        <v>30</v>
      </c>
      <c r="AB13" s="1"/>
      <c r="AC13" s="1"/>
      <c r="AD13" s="1"/>
    </row>
    <row r="14" spans="1:30" x14ac:dyDescent="0.25">
      <c r="A14" s="40" t="s">
        <v>110</v>
      </c>
      <c r="B14" s="38">
        <v>16</v>
      </c>
      <c r="C14" s="36">
        <v>16</v>
      </c>
      <c r="D14" s="36">
        <v>8</v>
      </c>
      <c r="E14" s="36">
        <v>16</v>
      </c>
      <c r="F14" s="33">
        <v>40</v>
      </c>
      <c r="G14" s="38">
        <v>0</v>
      </c>
      <c r="H14" s="36">
        <v>0</v>
      </c>
      <c r="I14" s="36">
        <v>0</v>
      </c>
      <c r="J14" s="36">
        <v>0</v>
      </c>
      <c r="K14" s="33">
        <v>0</v>
      </c>
      <c r="L14" s="38">
        <v>0</v>
      </c>
      <c r="M14" s="36">
        <v>0</v>
      </c>
      <c r="N14" s="36">
        <v>0</v>
      </c>
      <c r="O14" s="36">
        <v>0</v>
      </c>
      <c r="P14" s="33">
        <v>0</v>
      </c>
      <c r="Q14" s="38">
        <v>0</v>
      </c>
      <c r="R14" s="36">
        <v>0</v>
      </c>
      <c r="S14" s="36">
        <v>0</v>
      </c>
      <c r="T14" s="36">
        <v>0</v>
      </c>
      <c r="U14" s="36">
        <v>0</v>
      </c>
      <c r="V14" s="38">
        <v>20</v>
      </c>
      <c r="W14" s="36">
        <v>0</v>
      </c>
      <c r="X14" s="35">
        <v>0</v>
      </c>
      <c r="Y14" s="36">
        <v>0</v>
      </c>
      <c r="Z14" s="36">
        <v>16</v>
      </c>
      <c r="AA14" s="40">
        <f t="shared" si="0"/>
        <v>132</v>
      </c>
      <c r="AB14" s="1"/>
      <c r="AC14" s="1"/>
      <c r="AD14" s="1"/>
    </row>
    <row r="15" spans="1:30" x14ac:dyDescent="0.25">
      <c r="A15" s="41" t="s">
        <v>111</v>
      </c>
      <c r="B15" s="37">
        <v>17</v>
      </c>
      <c r="C15" s="35">
        <v>17</v>
      </c>
      <c r="D15" s="35">
        <v>10</v>
      </c>
      <c r="E15" s="35">
        <v>16</v>
      </c>
      <c r="F15" s="34">
        <v>42</v>
      </c>
      <c r="G15" s="37">
        <v>0</v>
      </c>
      <c r="H15" s="35">
        <v>0</v>
      </c>
      <c r="I15" s="35">
        <v>0</v>
      </c>
      <c r="J15" s="35">
        <v>0</v>
      </c>
      <c r="K15" s="34">
        <v>0</v>
      </c>
      <c r="L15" s="37">
        <v>0</v>
      </c>
      <c r="M15" s="35">
        <v>0</v>
      </c>
      <c r="N15" s="35">
        <v>0</v>
      </c>
      <c r="O15" s="35">
        <v>0</v>
      </c>
      <c r="P15" s="34">
        <v>0</v>
      </c>
      <c r="Q15" s="37">
        <v>0</v>
      </c>
      <c r="R15" s="35">
        <v>0</v>
      </c>
      <c r="S15" s="35">
        <v>0</v>
      </c>
      <c r="T15" s="35">
        <v>0</v>
      </c>
      <c r="U15" s="34">
        <v>0</v>
      </c>
      <c r="V15" s="37">
        <v>21</v>
      </c>
      <c r="W15" s="35">
        <v>2</v>
      </c>
      <c r="X15" s="35">
        <v>0</v>
      </c>
      <c r="Y15" s="35">
        <v>0</v>
      </c>
      <c r="Z15" s="35">
        <v>17</v>
      </c>
      <c r="AA15" s="41">
        <f t="shared" si="0"/>
        <v>142</v>
      </c>
      <c r="AB15" s="1"/>
      <c r="AC15" s="1"/>
      <c r="AD15" s="1"/>
    </row>
    <row r="16" spans="1:30" x14ac:dyDescent="0.25">
      <c r="A16" s="41" t="s">
        <v>112</v>
      </c>
      <c r="B16" s="37">
        <v>18</v>
      </c>
      <c r="C16" s="35">
        <v>18</v>
      </c>
      <c r="D16" s="35">
        <v>12</v>
      </c>
      <c r="E16" s="35">
        <v>16</v>
      </c>
      <c r="F16" s="34">
        <v>44</v>
      </c>
      <c r="G16" s="37">
        <v>0</v>
      </c>
      <c r="H16" s="35">
        <v>0</v>
      </c>
      <c r="I16" s="35">
        <v>0</v>
      </c>
      <c r="J16" s="35">
        <v>0</v>
      </c>
      <c r="K16" s="34">
        <v>0</v>
      </c>
      <c r="L16" s="37">
        <v>0</v>
      </c>
      <c r="M16" s="35">
        <v>0</v>
      </c>
      <c r="N16" s="35">
        <v>0</v>
      </c>
      <c r="O16" s="35">
        <v>0</v>
      </c>
      <c r="P16" s="34">
        <v>0</v>
      </c>
      <c r="Q16" s="37">
        <v>0</v>
      </c>
      <c r="R16" s="35">
        <v>0</v>
      </c>
      <c r="S16" s="35">
        <v>0</v>
      </c>
      <c r="T16" s="35">
        <v>0</v>
      </c>
      <c r="U16" s="34">
        <v>0</v>
      </c>
      <c r="V16" s="37">
        <v>22</v>
      </c>
      <c r="W16" s="35">
        <v>4</v>
      </c>
      <c r="X16" s="35">
        <v>0</v>
      </c>
      <c r="Y16" s="35">
        <v>0</v>
      </c>
      <c r="Z16" s="35">
        <v>18</v>
      </c>
      <c r="AA16" s="41">
        <f t="shared" si="0"/>
        <v>152</v>
      </c>
      <c r="AB16" s="1"/>
      <c r="AC16" s="1"/>
      <c r="AD16" s="1"/>
    </row>
    <row r="17" spans="1:30" x14ac:dyDescent="0.25">
      <c r="A17" s="41" t="s">
        <v>113</v>
      </c>
      <c r="B17" s="37">
        <v>19</v>
      </c>
      <c r="C17" s="35">
        <v>19</v>
      </c>
      <c r="D17" s="35">
        <v>14</v>
      </c>
      <c r="E17" s="35">
        <v>16</v>
      </c>
      <c r="F17" s="34">
        <v>46</v>
      </c>
      <c r="G17" s="37">
        <v>0</v>
      </c>
      <c r="H17" s="35">
        <v>0</v>
      </c>
      <c r="I17" s="35">
        <v>0</v>
      </c>
      <c r="J17" s="35">
        <v>0</v>
      </c>
      <c r="K17" s="34">
        <v>0</v>
      </c>
      <c r="L17" s="37">
        <v>0</v>
      </c>
      <c r="M17" s="35">
        <v>0</v>
      </c>
      <c r="N17" s="35">
        <v>0</v>
      </c>
      <c r="O17" s="35">
        <v>0</v>
      </c>
      <c r="P17" s="34">
        <v>0</v>
      </c>
      <c r="Q17" s="37">
        <v>0</v>
      </c>
      <c r="R17" s="35">
        <v>0</v>
      </c>
      <c r="S17" s="35">
        <v>0</v>
      </c>
      <c r="T17" s="35">
        <v>0</v>
      </c>
      <c r="U17" s="34">
        <v>0</v>
      </c>
      <c r="V17" s="37">
        <v>23</v>
      </c>
      <c r="W17" s="35">
        <v>6</v>
      </c>
      <c r="X17" s="35">
        <v>0</v>
      </c>
      <c r="Y17" s="35">
        <v>0</v>
      </c>
      <c r="Z17" s="35">
        <v>19</v>
      </c>
      <c r="AA17" s="41">
        <f t="shared" si="0"/>
        <v>162</v>
      </c>
      <c r="AB17" s="1"/>
      <c r="AC17" s="1"/>
      <c r="AD17" s="1"/>
    </row>
    <row r="18" spans="1:30" x14ac:dyDescent="0.25">
      <c r="A18" s="41" t="s">
        <v>114</v>
      </c>
      <c r="B18" s="37">
        <v>20</v>
      </c>
      <c r="C18" s="35">
        <v>20</v>
      </c>
      <c r="D18" s="35">
        <v>16</v>
      </c>
      <c r="E18" s="35">
        <v>16</v>
      </c>
      <c r="F18" s="34">
        <v>48</v>
      </c>
      <c r="G18" s="37">
        <v>0</v>
      </c>
      <c r="H18" s="35">
        <v>0</v>
      </c>
      <c r="I18" s="35">
        <v>0</v>
      </c>
      <c r="J18" s="35">
        <v>0</v>
      </c>
      <c r="K18" s="34">
        <v>0</v>
      </c>
      <c r="L18" s="37">
        <v>0</v>
      </c>
      <c r="M18" s="35">
        <v>0</v>
      </c>
      <c r="N18" s="35">
        <v>0</v>
      </c>
      <c r="O18" s="35">
        <v>0</v>
      </c>
      <c r="P18" s="34">
        <v>0</v>
      </c>
      <c r="Q18" s="37">
        <v>0</v>
      </c>
      <c r="R18" s="35">
        <v>0</v>
      </c>
      <c r="S18" s="35">
        <v>0</v>
      </c>
      <c r="T18" s="35">
        <v>0</v>
      </c>
      <c r="U18" s="34">
        <v>0</v>
      </c>
      <c r="V18" s="37">
        <v>24</v>
      </c>
      <c r="W18" s="35">
        <v>8</v>
      </c>
      <c r="X18" s="35">
        <v>0</v>
      </c>
      <c r="Y18" s="35">
        <v>0</v>
      </c>
      <c r="Z18" s="35">
        <v>20</v>
      </c>
      <c r="AA18" s="41">
        <f t="shared" si="0"/>
        <v>172</v>
      </c>
      <c r="AB18" s="1"/>
      <c r="AC18" s="1"/>
      <c r="AD18" s="1"/>
    </row>
    <row r="19" spans="1:30" x14ac:dyDescent="0.25">
      <c r="A19" s="41" t="s">
        <v>115</v>
      </c>
      <c r="B19" s="37">
        <v>20</v>
      </c>
      <c r="C19" s="35">
        <v>20</v>
      </c>
      <c r="D19" s="35">
        <v>18</v>
      </c>
      <c r="E19" s="35">
        <v>16</v>
      </c>
      <c r="F19" s="34">
        <v>50</v>
      </c>
      <c r="G19" s="37">
        <v>0</v>
      </c>
      <c r="H19" s="35">
        <v>0</v>
      </c>
      <c r="I19" s="35">
        <v>0</v>
      </c>
      <c r="J19" s="35">
        <v>0</v>
      </c>
      <c r="K19" s="34">
        <v>0</v>
      </c>
      <c r="L19" s="37">
        <v>0</v>
      </c>
      <c r="M19" s="35">
        <v>0</v>
      </c>
      <c r="N19" s="35">
        <v>0</v>
      </c>
      <c r="O19" s="35">
        <v>0</v>
      </c>
      <c r="P19" s="34">
        <v>0</v>
      </c>
      <c r="Q19" s="37">
        <v>0</v>
      </c>
      <c r="R19" s="35">
        <v>0</v>
      </c>
      <c r="S19" s="35">
        <v>0</v>
      </c>
      <c r="T19" s="35">
        <v>0</v>
      </c>
      <c r="U19" s="34">
        <v>0</v>
      </c>
      <c r="V19" s="37">
        <v>25</v>
      </c>
      <c r="W19" s="35">
        <v>10</v>
      </c>
      <c r="X19" s="35">
        <v>0</v>
      </c>
      <c r="Y19" s="35">
        <v>0</v>
      </c>
      <c r="Z19" s="35">
        <v>21</v>
      </c>
      <c r="AA19" s="41">
        <f t="shared" si="0"/>
        <v>180</v>
      </c>
      <c r="AB19" s="1"/>
      <c r="AC19" s="1"/>
      <c r="AD19" s="1"/>
    </row>
    <row r="20" spans="1:30" x14ac:dyDescent="0.25">
      <c r="A20" s="41" t="s">
        <v>116</v>
      </c>
      <c r="B20" s="37">
        <v>20</v>
      </c>
      <c r="C20" s="35">
        <v>20</v>
      </c>
      <c r="D20" s="35">
        <v>20</v>
      </c>
      <c r="E20" s="35">
        <v>16</v>
      </c>
      <c r="F20" s="34">
        <v>50</v>
      </c>
      <c r="G20" s="37">
        <v>0</v>
      </c>
      <c r="H20" s="35">
        <v>0</v>
      </c>
      <c r="I20" s="35">
        <v>0</v>
      </c>
      <c r="J20" s="35">
        <v>0</v>
      </c>
      <c r="K20" s="34">
        <v>0</v>
      </c>
      <c r="L20" s="37">
        <v>0</v>
      </c>
      <c r="M20" s="35">
        <v>0</v>
      </c>
      <c r="N20" s="35">
        <v>0</v>
      </c>
      <c r="O20" s="35">
        <v>0</v>
      </c>
      <c r="P20" s="34">
        <v>0</v>
      </c>
      <c r="Q20" s="37">
        <v>0</v>
      </c>
      <c r="R20" s="35">
        <v>0</v>
      </c>
      <c r="S20" s="35">
        <v>0</v>
      </c>
      <c r="T20" s="35">
        <v>0</v>
      </c>
      <c r="U20" s="34">
        <v>0</v>
      </c>
      <c r="V20" s="37">
        <v>26</v>
      </c>
      <c r="W20" s="35">
        <v>12</v>
      </c>
      <c r="X20" s="35">
        <v>0</v>
      </c>
      <c r="Y20" s="35">
        <v>0</v>
      </c>
      <c r="Z20" s="35">
        <v>22</v>
      </c>
      <c r="AA20" s="41">
        <f t="shared" si="0"/>
        <v>186</v>
      </c>
      <c r="AB20" s="1"/>
      <c r="AC20" s="1"/>
      <c r="AD20" s="1"/>
    </row>
    <row r="21" spans="1:30" x14ac:dyDescent="0.25">
      <c r="A21" s="41" t="s">
        <v>117</v>
      </c>
      <c r="B21" s="37">
        <v>20</v>
      </c>
      <c r="C21" s="35">
        <v>20</v>
      </c>
      <c r="D21" s="35">
        <v>20</v>
      </c>
      <c r="E21" s="35">
        <v>16</v>
      </c>
      <c r="F21" s="34">
        <v>50</v>
      </c>
      <c r="G21" s="37">
        <v>0</v>
      </c>
      <c r="H21" s="35">
        <v>0</v>
      </c>
      <c r="I21" s="35">
        <v>0</v>
      </c>
      <c r="J21" s="35">
        <v>0</v>
      </c>
      <c r="K21" s="34">
        <v>0</v>
      </c>
      <c r="L21" s="37">
        <v>0</v>
      </c>
      <c r="M21" s="35">
        <v>0</v>
      </c>
      <c r="N21" s="35">
        <v>0</v>
      </c>
      <c r="O21" s="35">
        <v>0</v>
      </c>
      <c r="P21" s="34">
        <v>0</v>
      </c>
      <c r="Q21" s="37">
        <v>0</v>
      </c>
      <c r="R21" s="35">
        <v>0</v>
      </c>
      <c r="S21" s="35">
        <v>0</v>
      </c>
      <c r="T21" s="35">
        <v>0</v>
      </c>
      <c r="U21" s="34">
        <v>0</v>
      </c>
      <c r="V21" s="37">
        <v>27</v>
      </c>
      <c r="W21" s="35">
        <v>14</v>
      </c>
      <c r="X21" s="35">
        <v>0</v>
      </c>
      <c r="Y21" s="35">
        <v>0</v>
      </c>
      <c r="Z21" s="35">
        <v>23</v>
      </c>
      <c r="AA21" s="41">
        <f t="shared" si="0"/>
        <v>190</v>
      </c>
      <c r="AB21" s="1"/>
      <c r="AC21" s="1"/>
      <c r="AD21" s="1"/>
    </row>
    <row r="22" spans="1:30" x14ac:dyDescent="0.25">
      <c r="A22" s="41" t="s">
        <v>118</v>
      </c>
      <c r="B22" s="37">
        <v>20</v>
      </c>
      <c r="C22" s="35">
        <v>20</v>
      </c>
      <c r="D22" s="35">
        <v>20</v>
      </c>
      <c r="E22" s="35">
        <v>16</v>
      </c>
      <c r="F22" s="34">
        <v>50</v>
      </c>
      <c r="G22" s="37">
        <v>0</v>
      </c>
      <c r="H22" s="35">
        <v>0</v>
      </c>
      <c r="I22" s="35">
        <v>0</v>
      </c>
      <c r="J22" s="35">
        <v>0</v>
      </c>
      <c r="K22" s="34">
        <v>0</v>
      </c>
      <c r="L22" s="37">
        <v>0</v>
      </c>
      <c r="M22" s="35">
        <v>0</v>
      </c>
      <c r="N22" s="35">
        <v>0</v>
      </c>
      <c r="O22" s="35">
        <v>0</v>
      </c>
      <c r="P22" s="34">
        <v>0</v>
      </c>
      <c r="Q22" s="37">
        <v>0</v>
      </c>
      <c r="R22" s="35">
        <v>0</v>
      </c>
      <c r="S22" s="35">
        <v>0</v>
      </c>
      <c r="T22" s="35">
        <v>0</v>
      </c>
      <c r="U22" s="34">
        <v>0</v>
      </c>
      <c r="V22" s="37">
        <v>28</v>
      </c>
      <c r="W22" s="35">
        <v>16</v>
      </c>
      <c r="X22" s="35">
        <v>0</v>
      </c>
      <c r="Y22" s="35">
        <v>0</v>
      </c>
      <c r="Z22" s="35">
        <v>24</v>
      </c>
      <c r="AA22" s="41">
        <f t="shared" si="0"/>
        <v>194</v>
      </c>
      <c r="AB22" s="1"/>
      <c r="AC22" s="1"/>
      <c r="AD22" s="1"/>
    </row>
    <row r="23" spans="1:30" x14ac:dyDescent="0.25">
      <c r="A23" s="41" t="s">
        <v>119</v>
      </c>
      <c r="B23" s="37">
        <v>20</v>
      </c>
      <c r="C23" s="35">
        <v>20</v>
      </c>
      <c r="D23" s="35">
        <v>20</v>
      </c>
      <c r="E23" s="35">
        <v>16</v>
      </c>
      <c r="F23" s="34">
        <v>50</v>
      </c>
      <c r="G23" s="37">
        <v>0</v>
      </c>
      <c r="H23" s="35">
        <v>0</v>
      </c>
      <c r="I23" s="35">
        <v>0</v>
      </c>
      <c r="J23" s="35">
        <v>0</v>
      </c>
      <c r="K23" s="34">
        <v>0</v>
      </c>
      <c r="L23" s="37">
        <v>0</v>
      </c>
      <c r="M23" s="35">
        <v>0</v>
      </c>
      <c r="N23" s="35">
        <v>0</v>
      </c>
      <c r="O23" s="35">
        <v>0</v>
      </c>
      <c r="P23" s="34">
        <v>0</v>
      </c>
      <c r="Q23" s="37">
        <v>0</v>
      </c>
      <c r="R23" s="35">
        <v>0</v>
      </c>
      <c r="S23" s="35">
        <v>0</v>
      </c>
      <c r="T23" s="35">
        <v>0</v>
      </c>
      <c r="U23" s="34">
        <v>0</v>
      </c>
      <c r="V23" s="37">
        <v>29</v>
      </c>
      <c r="W23" s="35">
        <v>18</v>
      </c>
      <c r="X23" s="35">
        <v>0</v>
      </c>
      <c r="Y23" s="35">
        <v>0</v>
      </c>
      <c r="Z23" s="35">
        <v>25</v>
      </c>
      <c r="AA23" s="41">
        <f t="shared" si="0"/>
        <v>198</v>
      </c>
      <c r="AB23" s="1"/>
      <c r="AC23" s="1"/>
      <c r="AD23" s="1"/>
    </row>
    <row r="24" spans="1:30" x14ac:dyDescent="0.25">
      <c r="A24" s="41" t="s">
        <v>120</v>
      </c>
      <c r="B24" s="37">
        <v>20</v>
      </c>
      <c r="C24" s="35">
        <v>20</v>
      </c>
      <c r="D24" s="35">
        <v>20</v>
      </c>
      <c r="E24" s="35">
        <v>16</v>
      </c>
      <c r="F24" s="34">
        <v>50</v>
      </c>
      <c r="G24" s="37">
        <v>0</v>
      </c>
      <c r="H24" s="35">
        <v>0</v>
      </c>
      <c r="I24" s="35">
        <v>0</v>
      </c>
      <c r="J24" s="35">
        <v>0</v>
      </c>
      <c r="K24" s="34">
        <v>0</v>
      </c>
      <c r="L24" s="37">
        <v>0</v>
      </c>
      <c r="M24" s="35">
        <v>0</v>
      </c>
      <c r="N24" s="35">
        <v>0</v>
      </c>
      <c r="O24" s="35">
        <v>0</v>
      </c>
      <c r="P24" s="34">
        <v>0</v>
      </c>
      <c r="Q24" s="37">
        <v>0</v>
      </c>
      <c r="R24" s="35">
        <v>0</v>
      </c>
      <c r="S24" s="35">
        <v>0</v>
      </c>
      <c r="T24" s="35">
        <v>0</v>
      </c>
      <c r="U24" s="34">
        <v>0</v>
      </c>
      <c r="V24" s="37">
        <v>30</v>
      </c>
      <c r="W24" s="35">
        <v>20</v>
      </c>
      <c r="X24" s="35">
        <v>0</v>
      </c>
      <c r="Y24" s="35">
        <v>0</v>
      </c>
      <c r="Z24" s="35">
        <v>26</v>
      </c>
      <c r="AA24" s="41">
        <f t="shared" si="0"/>
        <v>202</v>
      </c>
      <c r="AB24" s="1"/>
      <c r="AC24" s="1"/>
      <c r="AD24" s="1"/>
    </row>
    <row r="25" spans="1:30" x14ac:dyDescent="0.25">
      <c r="A25" s="41" t="s">
        <v>121</v>
      </c>
      <c r="B25" s="37">
        <v>20</v>
      </c>
      <c r="C25" s="35">
        <v>20</v>
      </c>
      <c r="D25" s="35">
        <v>20</v>
      </c>
      <c r="E25" s="35">
        <v>16</v>
      </c>
      <c r="F25" s="34">
        <v>50</v>
      </c>
      <c r="G25" s="37">
        <v>0</v>
      </c>
      <c r="H25" s="35">
        <v>0</v>
      </c>
      <c r="I25" s="35">
        <v>0</v>
      </c>
      <c r="J25" s="35">
        <v>0</v>
      </c>
      <c r="K25" s="34">
        <v>0</v>
      </c>
      <c r="L25" s="37">
        <v>0</v>
      </c>
      <c r="M25" s="35">
        <v>0</v>
      </c>
      <c r="N25" s="35">
        <v>0</v>
      </c>
      <c r="O25" s="35">
        <v>0</v>
      </c>
      <c r="P25" s="34">
        <v>0</v>
      </c>
      <c r="Q25" s="37">
        <v>0</v>
      </c>
      <c r="R25" s="35">
        <v>0</v>
      </c>
      <c r="S25" s="35">
        <v>0</v>
      </c>
      <c r="T25" s="35">
        <v>0</v>
      </c>
      <c r="U25" s="34">
        <v>0</v>
      </c>
      <c r="V25" s="37">
        <v>30</v>
      </c>
      <c r="W25" s="35">
        <v>20</v>
      </c>
      <c r="X25" s="35">
        <v>0</v>
      </c>
      <c r="Y25" s="35">
        <v>0</v>
      </c>
      <c r="Z25" s="35">
        <v>27</v>
      </c>
      <c r="AA25" s="41">
        <f t="shared" si="0"/>
        <v>203</v>
      </c>
      <c r="AB25" s="1"/>
      <c r="AC25" s="1"/>
      <c r="AD25" s="1"/>
    </row>
    <row r="26" spans="1:30" x14ac:dyDescent="0.25">
      <c r="A26" s="41" t="s">
        <v>122</v>
      </c>
      <c r="B26" s="37">
        <v>20</v>
      </c>
      <c r="C26" s="35">
        <v>20</v>
      </c>
      <c r="D26" s="35">
        <v>20</v>
      </c>
      <c r="E26" s="35">
        <v>16</v>
      </c>
      <c r="F26" s="34">
        <v>50</v>
      </c>
      <c r="G26" s="37">
        <v>0</v>
      </c>
      <c r="H26" s="35">
        <v>0</v>
      </c>
      <c r="I26" s="35">
        <v>0</v>
      </c>
      <c r="J26" s="35">
        <v>0</v>
      </c>
      <c r="K26" s="34">
        <v>0</v>
      </c>
      <c r="L26" s="37">
        <v>0</v>
      </c>
      <c r="M26" s="35">
        <v>0</v>
      </c>
      <c r="N26" s="35">
        <v>0</v>
      </c>
      <c r="O26" s="35">
        <v>0</v>
      </c>
      <c r="P26" s="34">
        <v>0</v>
      </c>
      <c r="Q26" s="37">
        <v>0</v>
      </c>
      <c r="R26" s="35">
        <v>0</v>
      </c>
      <c r="S26" s="35">
        <v>0</v>
      </c>
      <c r="T26" s="35">
        <v>0</v>
      </c>
      <c r="U26" s="34">
        <v>0</v>
      </c>
      <c r="V26" s="37">
        <v>30</v>
      </c>
      <c r="W26" s="35">
        <v>20</v>
      </c>
      <c r="X26" s="35">
        <v>0</v>
      </c>
      <c r="Y26" s="35">
        <v>0</v>
      </c>
      <c r="Z26" s="35">
        <v>28</v>
      </c>
      <c r="AA26" s="41">
        <f t="shared" si="0"/>
        <v>204</v>
      </c>
      <c r="AB26" s="1"/>
      <c r="AC26" s="1"/>
      <c r="AD26" s="1"/>
    </row>
    <row r="27" spans="1:30" x14ac:dyDescent="0.25">
      <c r="A27" s="41" t="s">
        <v>123</v>
      </c>
      <c r="B27" s="37">
        <v>18</v>
      </c>
      <c r="C27" s="35">
        <v>20</v>
      </c>
      <c r="D27" s="35">
        <v>20</v>
      </c>
      <c r="E27" s="35">
        <v>16</v>
      </c>
      <c r="F27" s="34">
        <v>50</v>
      </c>
      <c r="G27" s="37">
        <v>0</v>
      </c>
      <c r="H27" s="35">
        <v>0</v>
      </c>
      <c r="I27" s="35">
        <v>0</v>
      </c>
      <c r="J27" s="35">
        <v>0</v>
      </c>
      <c r="K27" s="34">
        <v>0</v>
      </c>
      <c r="L27" s="37">
        <v>0</v>
      </c>
      <c r="M27" s="35">
        <v>0</v>
      </c>
      <c r="N27" s="35">
        <v>0</v>
      </c>
      <c r="O27" s="35">
        <v>0</v>
      </c>
      <c r="P27" s="34">
        <v>0</v>
      </c>
      <c r="Q27" s="37">
        <v>0</v>
      </c>
      <c r="R27" s="35">
        <v>0</v>
      </c>
      <c r="S27" s="35">
        <v>0</v>
      </c>
      <c r="T27" s="35">
        <v>0</v>
      </c>
      <c r="U27" s="34">
        <v>0</v>
      </c>
      <c r="V27" s="37">
        <v>30</v>
      </c>
      <c r="W27" s="35">
        <v>20</v>
      </c>
      <c r="X27" s="35">
        <v>0</v>
      </c>
      <c r="Y27" s="35">
        <v>0</v>
      </c>
      <c r="Z27" s="35">
        <v>29</v>
      </c>
      <c r="AA27" s="41">
        <f t="shared" si="0"/>
        <v>203</v>
      </c>
      <c r="AB27" s="1"/>
      <c r="AC27" s="1"/>
      <c r="AD27" s="1"/>
    </row>
    <row r="28" spans="1:30" x14ac:dyDescent="0.25">
      <c r="A28" s="41" t="s">
        <v>124</v>
      </c>
      <c r="B28" s="37">
        <v>16</v>
      </c>
      <c r="C28" s="35">
        <v>20</v>
      </c>
      <c r="D28" s="35">
        <v>20</v>
      </c>
      <c r="E28" s="35">
        <v>16</v>
      </c>
      <c r="F28" s="34">
        <v>48</v>
      </c>
      <c r="G28" s="37">
        <v>0</v>
      </c>
      <c r="H28" s="35">
        <v>0</v>
      </c>
      <c r="I28" s="35">
        <v>0</v>
      </c>
      <c r="J28" s="35">
        <v>0</v>
      </c>
      <c r="K28" s="34">
        <v>0</v>
      </c>
      <c r="L28" s="37">
        <v>0</v>
      </c>
      <c r="M28" s="35">
        <v>0</v>
      </c>
      <c r="N28" s="35">
        <v>0</v>
      </c>
      <c r="O28" s="35">
        <v>0</v>
      </c>
      <c r="P28" s="34">
        <v>0</v>
      </c>
      <c r="Q28" s="37">
        <v>0</v>
      </c>
      <c r="R28" s="35">
        <v>0</v>
      </c>
      <c r="S28" s="35">
        <v>0</v>
      </c>
      <c r="T28" s="35">
        <v>0</v>
      </c>
      <c r="U28" s="34">
        <v>0</v>
      </c>
      <c r="V28" s="37">
        <v>30</v>
      </c>
      <c r="W28" s="35">
        <v>20</v>
      </c>
      <c r="X28" s="35">
        <v>0</v>
      </c>
      <c r="Y28" s="35">
        <v>0</v>
      </c>
      <c r="Z28" s="35">
        <v>30</v>
      </c>
      <c r="AA28" s="41">
        <f t="shared" si="0"/>
        <v>200</v>
      </c>
      <c r="AB28" s="1"/>
      <c r="AC28" s="1"/>
      <c r="AD28" s="1"/>
    </row>
    <row r="29" spans="1:30" x14ac:dyDescent="0.25">
      <c r="A29" s="41" t="s">
        <v>125</v>
      </c>
      <c r="B29" s="37">
        <v>14</v>
      </c>
      <c r="C29" s="35">
        <v>16</v>
      </c>
      <c r="D29" s="35">
        <v>19</v>
      </c>
      <c r="E29" s="35">
        <v>16</v>
      </c>
      <c r="F29" s="34">
        <v>46</v>
      </c>
      <c r="G29" s="37">
        <v>0</v>
      </c>
      <c r="H29" s="35">
        <v>0</v>
      </c>
      <c r="I29" s="35">
        <v>0</v>
      </c>
      <c r="J29" s="35">
        <v>0</v>
      </c>
      <c r="K29" s="34">
        <v>0</v>
      </c>
      <c r="L29" s="37">
        <v>0</v>
      </c>
      <c r="M29" s="35">
        <v>0</v>
      </c>
      <c r="N29" s="35">
        <v>0</v>
      </c>
      <c r="O29" s="35">
        <v>0</v>
      </c>
      <c r="P29" s="34">
        <v>0</v>
      </c>
      <c r="Q29" s="37">
        <v>0</v>
      </c>
      <c r="R29" s="35">
        <v>0</v>
      </c>
      <c r="S29" s="35">
        <v>0</v>
      </c>
      <c r="T29" s="35">
        <v>0</v>
      </c>
      <c r="U29" s="34">
        <v>0</v>
      </c>
      <c r="V29" s="37">
        <v>30</v>
      </c>
      <c r="W29" s="35">
        <v>20</v>
      </c>
      <c r="X29" s="35">
        <v>0</v>
      </c>
      <c r="Y29" s="35">
        <v>0</v>
      </c>
      <c r="Z29" s="35">
        <v>30</v>
      </c>
      <c r="AA29" s="41">
        <f t="shared" si="0"/>
        <v>191</v>
      </c>
      <c r="AB29" s="1"/>
      <c r="AC29" s="1"/>
      <c r="AD29" s="1"/>
    </row>
    <row r="30" spans="1:30" x14ac:dyDescent="0.25">
      <c r="A30" s="41" t="s">
        <v>126</v>
      </c>
      <c r="B30" s="37">
        <v>12</v>
      </c>
      <c r="C30" s="35">
        <v>12</v>
      </c>
      <c r="D30" s="35">
        <v>18</v>
      </c>
      <c r="E30" s="35">
        <v>16</v>
      </c>
      <c r="F30" s="34">
        <v>44</v>
      </c>
      <c r="G30" s="37">
        <v>0</v>
      </c>
      <c r="H30" s="35">
        <v>0</v>
      </c>
      <c r="I30" s="35">
        <v>0</v>
      </c>
      <c r="J30" s="35">
        <v>0</v>
      </c>
      <c r="K30" s="34">
        <v>0</v>
      </c>
      <c r="L30" s="37">
        <v>0</v>
      </c>
      <c r="M30" s="35">
        <v>0</v>
      </c>
      <c r="N30" s="35">
        <v>0</v>
      </c>
      <c r="O30" s="35">
        <v>0</v>
      </c>
      <c r="P30" s="34">
        <v>0</v>
      </c>
      <c r="Q30" s="37">
        <v>0</v>
      </c>
      <c r="R30" s="35">
        <v>0</v>
      </c>
      <c r="S30" s="35">
        <v>0</v>
      </c>
      <c r="T30" s="35">
        <v>0</v>
      </c>
      <c r="U30" s="34">
        <v>0</v>
      </c>
      <c r="V30" s="37">
        <v>30</v>
      </c>
      <c r="W30" s="35">
        <v>20</v>
      </c>
      <c r="X30" s="35">
        <v>0</v>
      </c>
      <c r="Y30" s="35">
        <v>0</v>
      </c>
      <c r="Z30" s="35">
        <v>30</v>
      </c>
      <c r="AA30" s="41">
        <f t="shared" si="0"/>
        <v>182</v>
      </c>
      <c r="AB30" s="1"/>
      <c r="AC30" s="1"/>
      <c r="AD30" s="1"/>
    </row>
    <row r="31" spans="1:30" x14ac:dyDescent="0.25">
      <c r="A31" s="41" t="s">
        <v>127</v>
      </c>
      <c r="B31" s="37">
        <v>10</v>
      </c>
      <c r="C31" s="35">
        <v>8</v>
      </c>
      <c r="D31" s="35">
        <v>17</v>
      </c>
      <c r="E31" s="35">
        <v>16</v>
      </c>
      <c r="F31" s="34">
        <v>42</v>
      </c>
      <c r="G31" s="37">
        <v>0</v>
      </c>
      <c r="H31" s="35">
        <v>0</v>
      </c>
      <c r="I31" s="35">
        <v>0</v>
      </c>
      <c r="J31" s="35">
        <v>0</v>
      </c>
      <c r="K31" s="34">
        <v>0</v>
      </c>
      <c r="L31" s="37">
        <v>0</v>
      </c>
      <c r="M31" s="35">
        <v>0</v>
      </c>
      <c r="N31" s="35">
        <v>0</v>
      </c>
      <c r="O31" s="35">
        <v>0</v>
      </c>
      <c r="P31" s="34">
        <v>0</v>
      </c>
      <c r="Q31" s="37">
        <v>0</v>
      </c>
      <c r="R31" s="35">
        <v>0</v>
      </c>
      <c r="S31" s="35">
        <v>0</v>
      </c>
      <c r="T31" s="35">
        <v>0</v>
      </c>
      <c r="U31" s="34">
        <v>0</v>
      </c>
      <c r="V31" s="37">
        <v>30</v>
      </c>
      <c r="W31" s="35">
        <v>20</v>
      </c>
      <c r="X31" s="35">
        <v>0</v>
      </c>
      <c r="Y31" s="35">
        <v>0</v>
      </c>
      <c r="Z31" s="35">
        <v>30</v>
      </c>
      <c r="AA31" s="41">
        <f t="shared" si="0"/>
        <v>173</v>
      </c>
      <c r="AB31" s="1"/>
      <c r="AC31" s="1"/>
      <c r="AD31" s="1"/>
    </row>
    <row r="32" spans="1:30" x14ac:dyDescent="0.25">
      <c r="A32" s="41" t="s">
        <v>128</v>
      </c>
      <c r="B32" s="37">
        <v>8</v>
      </c>
      <c r="C32" s="35">
        <v>4</v>
      </c>
      <c r="D32" s="35">
        <v>16</v>
      </c>
      <c r="E32" s="35">
        <v>16</v>
      </c>
      <c r="F32" s="34">
        <v>40</v>
      </c>
      <c r="G32" s="37">
        <v>0</v>
      </c>
      <c r="H32" s="35">
        <v>0</v>
      </c>
      <c r="I32" s="35">
        <v>0</v>
      </c>
      <c r="J32" s="35">
        <v>0</v>
      </c>
      <c r="K32" s="34">
        <v>0</v>
      </c>
      <c r="L32" s="37">
        <v>0</v>
      </c>
      <c r="M32" s="35">
        <v>0</v>
      </c>
      <c r="N32" s="35">
        <v>0</v>
      </c>
      <c r="O32" s="35">
        <v>0</v>
      </c>
      <c r="P32" s="34">
        <v>0</v>
      </c>
      <c r="Q32" s="37">
        <v>0</v>
      </c>
      <c r="R32" s="35">
        <v>0</v>
      </c>
      <c r="S32" s="35">
        <v>0</v>
      </c>
      <c r="T32" s="35">
        <v>0</v>
      </c>
      <c r="U32" s="34">
        <v>0</v>
      </c>
      <c r="V32" s="37">
        <v>30</v>
      </c>
      <c r="W32" s="35">
        <v>20</v>
      </c>
      <c r="X32" s="35">
        <v>0</v>
      </c>
      <c r="Y32" s="35">
        <v>0</v>
      </c>
      <c r="Z32" s="35">
        <v>30</v>
      </c>
      <c r="AA32" s="41">
        <f t="shared" si="0"/>
        <v>164</v>
      </c>
      <c r="AB32" s="1"/>
      <c r="AC32" s="1"/>
      <c r="AD32" s="1"/>
    </row>
    <row r="33" spans="1:30" x14ac:dyDescent="0.25">
      <c r="A33" s="41" t="s">
        <v>129</v>
      </c>
      <c r="B33" s="37">
        <v>6</v>
      </c>
      <c r="C33" s="35">
        <v>0</v>
      </c>
      <c r="D33" s="35">
        <v>15</v>
      </c>
      <c r="E33" s="35">
        <v>16</v>
      </c>
      <c r="F33" s="34">
        <v>38</v>
      </c>
      <c r="G33" s="37">
        <v>0</v>
      </c>
      <c r="H33" s="35">
        <v>0</v>
      </c>
      <c r="I33" s="35">
        <v>0</v>
      </c>
      <c r="J33" s="35">
        <v>0</v>
      </c>
      <c r="K33" s="34">
        <v>0</v>
      </c>
      <c r="L33" s="37">
        <v>0</v>
      </c>
      <c r="M33" s="35">
        <v>0</v>
      </c>
      <c r="N33" s="35">
        <v>0</v>
      </c>
      <c r="O33" s="35">
        <v>0</v>
      </c>
      <c r="P33" s="34">
        <v>0</v>
      </c>
      <c r="Q33" s="37">
        <v>0</v>
      </c>
      <c r="R33" s="35">
        <v>0</v>
      </c>
      <c r="S33" s="35">
        <v>0</v>
      </c>
      <c r="T33" s="35">
        <v>0</v>
      </c>
      <c r="U33" s="34">
        <v>0</v>
      </c>
      <c r="V33" s="37">
        <v>30</v>
      </c>
      <c r="W33" s="35">
        <v>20</v>
      </c>
      <c r="X33" s="35">
        <v>0</v>
      </c>
      <c r="Y33" s="35">
        <v>0</v>
      </c>
      <c r="Z33" s="35">
        <v>30</v>
      </c>
      <c r="AA33" s="41">
        <f t="shared" si="0"/>
        <v>155</v>
      </c>
      <c r="AB33" s="1"/>
      <c r="AC33" s="1"/>
      <c r="AD33" s="1"/>
    </row>
    <row r="34" spans="1:30" x14ac:dyDescent="0.25">
      <c r="A34" s="41" t="s">
        <v>130</v>
      </c>
      <c r="B34" s="37">
        <v>4</v>
      </c>
      <c r="C34" s="35">
        <v>0</v>
      </c>
      <c r="D34" s="35">
        <v>14</v>
      </c>
      <c r="E34" s="35">
        <v>16</v>
      </c>
      <c r="F34" s="34">
        <v>36</v>
      </c>
      <c r="G34" s="37">
        <v>0</v>
      </c>
      <c r="H34" s="35">
        <v>0</v>
      </c>
      <c r="I34" s="35">
        <v>0</v>
      </c>
      <c r="J34" s="35">
        <v>0</v>
      </c>
      <c r="K34" s="34">
        <v>0</v>
      </c>
      <c r="L34" s="37">
        <v>0</v>
      </c>
      <c r="M34" s="35">
        <v>0</v>
      </c>
      <c r="N34" s="35">
        <v>0</v>
      </c>
      <c r="O34" s="35">
        <v>0</v>
      </c>
      <c r="P34" s="34">
        <v>0</v>
      </c>
      <c r="Q34" s="37">
        <v>0</v>
      </c>
      <c r="R34" s="35">
        <v>0</v>
      </c>
      <c r="S34" s="35">
        <v>0</v>
      </c>
      <c r="T34" s="35">
        <v>0</v>
      </c>
      <c r="U34" s="34">
        <v>0</v>
      </c>
      <c r="V34" s="37">
        <v>30</v>
      </c>
      <c r="W34" s="35">
        <v>20</v>
      </c>
      <c r="X34" s="35">
        <v>0</v>
      </c>
      <c r="Y34" s="35">
        <v>0</v>
      </c>
      <c r="Z34" s="35">
        <v>30</v>
      </c>
      <c r="AA34" s="41">
        <f t="shared" si="0"/>
        <v>150</v>
      </c>
      <c r="AB34" s="1"/>
      <c r="AC34" s="1"/>
      <c r="AD34" s="1"/>
    </row>
    <row r="35" spans="1:30" x14ac:dyDescent="0.25">
      <c r="A35" s="41" t="s">
        <v>131</v>
      </c>
      <c r="B35" s="37">
        <v>2</v>
      </c>
      <c r="C35" s="35">
        <v>0</v>
      </c>
      <c r="D35" s="35">
        <v>13</v>
      </c>
      <c r="E35" s="35">
        <v>16</v>
      </c>
      <c r="F35" s="34">
        <v>34</v>
      </c>
      <c r="G35" s="37">
        <v>0</v>
      </c>
      <c r="H35" s="35">
        <v>0</v>
      </c>
      <c r="I35" s="35">
        <v>0</v>
      </c>
      <c r="J35" s="35">
        <v>0</v>
      </c>
      <c r="K35" s="34">
        <v>0</v>
      </c>
      <c r="L35" s="37">
        <v>0</v>
      </c>
      <c r="M35" s="35">
        <v>0</v>
      </c>
      <c r="N35" s="35">
        <v>0</v>
      </c>
      <c r="O35" s="35">
        <v>0</v>
      </c>
      <c r="P35" s="34">
        <v>0</v>
      </c>
      <c r="Q35" s="37">
        <v>0</v>
      </c>
      <c r="R35" s="35">
        <v>0</v>
      </c>
      <c r="S35" s="35">
        <v>0</v>
      </c>
      <c r="T35" s="35">
        <v>0</v>
      </c>
      <c r="U35" s="34">
        <v>0</v>
      </c>
      <c r="V35" s="37">
        <v>30</v>
      </c>
      <c r="W35" s="35">
        <v>20</v>
      </c>
      <c r="X35" s="35">
        <v>0</v>
      </c>
      <c r="Y35" s="35">
        <v>0</v>
      </c>
      <c r="Z35" s="35">
        <v>30</v>
      </c>
      <c r="AA35" s="41">
        <f t="shared" si="0"/>
        <v>145</v>
      </c>
    </row>
    <row r="36" spans="1:30" x14ac:dyDescent="0.25">
      <c r="A36" s="41" t="s">
        <v>132</v>
      </c>
      <c r="B36" s="37">
        <v>0</v>
      </c>
      <c r="C36" s="35">
        <v>0</v>
      </c>
      <c r="D36" s="35">
        <v>12</v>
      </c>
      <c r="E36" s="35">
        <v>16</v>
      </c>
      <c r="F36" s="34">
        <v>32</v>
      </c>
      <c r="G36" s="37">
        <v>0</v>
      </c>
      <c r="H36" s="35">
        <v>0</v>
      </c>
      <c r="I36" s="35">
        <v>0</v>
      </c>
      <c r="J36" s="35">
        <v>0</v>
      </c>
      <c r="K36" s="34">
        <v>0</v>
      </c>
      <c r="L36" s="37">
        <v>0</v>
      </c>
      <c r="M36" s="35">
        <v>0</v>
      </c>
      <c r="N36" s="35">
        <v>0</v>
      </c>
      <c r="O36" s="35">
        <v>0</v>
      </c>
      <c r="P36" s="34">
        <v>0</v>
      </c>
      <c r="Q36" s="37">
        <v>0</v>
      </c>
      <c r="R36" s="35">
        <v>0</v>
      </c>
      <c r="S36" s="35">
        <v>0</v>
      </c>
      <c r="T36" s="35">
        <v>0</v>
      </c>
      <c r="U36" s="34">
        <v>0</v>
      </c>
      <c r="V36" s="37">
        <v>30</v>
      </c>
      <c r="W36" s="35">
        <v>20</v>
      </c>
      <c r="X36" s="35">
        <v>0</v>
      </c>
      <c r="Y36" s="35">
        <v>0</v>
      </c>
      <c r="Z36" s="35">
        <v>30</v>
      </c>
      <c r="AA36" s="41">
        <f t="shared" si="0"/>
        <v>140</v>
      </c>
    </row>
    <row r="37" spans="1:30" x14ac:dyDescent="0.25">
      <c r="A37" s="41" t="s">
        <v>133</v>
      </c>
      <c r="B37" s="37">
        <v>0</v>
      </c>
      <c r="C37" s="35">
        <v>0</v>
      </c>
      <c r="D37" s="35">
        <v>11</v>
      </c>
      <c r="E37" s="35">
        <v>16</v>
      </c>
      <c r="F37" s="34">
        <v>30</v>
      </c>
      <c r="G37" s="37">
        <v>0</v>
      </c>
      <c r="H37" s="35">
        <v>0</v>
      </c>
      <c r="I37" s="35">
        <v>0</v>
      </c>
      <c r="J37" s="35">
        <v>0</v>
      </c>
      <c r="K37" s="34">
        <v>0</v>
      </c>
      <c r="L37" s="37">
        <v>0</v>
      </c>
      <c r="M37" s="35">
        <v>0</v>
      </c>
      <c r="N37" s="35">
        <v>0</v>
      </c>
      <c r="O37" s="35">
        <v>0</v>
      </c>
      <c r="P37" s="34">
        <v>0</v>
      </c>
      <c r="Q37" s="37">
        <v>0</v>
      </c>
      <c r="R37" s="35">
        <v>0</v>
      </c>
      <c r="S37" s="35">
        <v>0</v>
      </c>
      <c r="T37" s="35">
        <v>0</v>
      </c>
      <c r="U37" s="34">
        <v>0</v>
      </c>
      <c r="V37" s="37">
        <v>30</v>
      </c>
      <c r="W37" s="35">
        <v>20</v>
      </c>
      <c r="X37" s="35">
        <v>0</v>
      </c>
      <c r="Y37" s="35">
        <v>0</v>
      </c>
      <c r="Z37" s="35">
        <v>30</v>
      </c>
      <c r="AA37" s="41">
        <f t="shared" si="0"/>
        <v>137</v>
      </c>
    </row>
    <row r="38" spans="1:30" x14ac:dyDescent="0.25">
      <c r="A38" s="41" t="s">
        <v>134</v>
      </c>
      <c r="B38" s="37">
        <v>0</v>
      </c>
      <c r="C38" s="35">
        <v>0</v>
      </c>
      <c r="D38" s="35">
        <v>10</v>
      </c>
      <c r="E38" s="35">
        <v>16</v>
      </c>
      <c r="F38" s="34">
        <v>28</v>
      </c>
      <c r="G38" s="37">
        <v>0</v>
      </c>
      <c r="H38" s="35">
        <v>0</v>
      </c>
      <c r="I38" s="35">
        <v>0</v>
      </c>
      <c r="J38" s="35">
        <v>0</v>
      </c>
      <c r="K38" s="34">
        <v>0</v>
      </c>
      <c r="L38" s="37">
        <v>0</v>
      </c>
      <c r="M38" s="35">
        <v>0</v>
      </c>
      <c r="N38" s="35">
        <v>0</v>
      </c>
      <c r="O38" s="35">
        <v>0</v>
      </c>
      <c r="P38" s="34">
        <v>0</v>
      </c>
      <c r="Q38" s="37">
        <v>0</v>
      </c>
      <c r="R38" s="35">
        <v>0</v>
      </c>
      <c r="S38" s="35">
        <v>0</v>
      </c>
      <c r="T38" s="35">
        <v>0</v>
      </c>
      <c r="U38" s="34">
        <v>0</v>
      </c>
      <c r="V38" s="37">
        <v>30</v>
      </c>
      <c r="W38" s="35">
        <v>20</v>
      </c>
      <c r="X38" s="35">
        <v>0</v>
      </c>
      <c r="Y38" s="35">
        <v>0</v>
      </c>
      <c r="Z38" s="35">
        <v>30</v>
      </c>
      <c r="AA38" s="41">
        <f t="shared" si="0"/>
        <v>134</v>
      </c>
    </row>
    <row r="39" spans="1:30" x14ac:dyDescent="0.25">
      <c r="A39" s="41" t="s">
        <v>135</v>
      </c>
      <c r="B39" s="37">
        <v>0</v>
      </c>
      <c r="C39" s="35">
        <v>0</v>
      </c>
      <c r="D39" s="35">
        <v>9</v>
      </c>
      <c r="E39" s="35">
        <v>16</v>
      </c>
      <c r="F39" s="34">
        <v>26</v>
      </c>
      <c r="G39" s="37">
        <v>0</v>
      </c>
      <c r="H39" s="35">
        <v>0</v>
      </c>
      <c r="I39" s="35">
        <v>0</v>
      </c>
      <c r="J39" s="35">
        <v>0</v>
      </c>
      <c r="K39" s="34">
        <v>0</v>
      </c>
      <c r="L39" s="37">
        <v>0</v>
      </c>
      <c r="M39" s="35">
        <v>0</v>
      </c>
      <c r="N39" s="35">
        <v>0</v>
      </c>
      <c r="O39" s="35">
        <v>0</v>
      </c>
      <c r="P39" s="34">
        <v>0</v>
      </c>
      <c r="Q39" s="37">
        <v>0</v>
      </c>
      <c r="R39" s="35">
        <v>0</v>
      </c>
      <c r="S39" s="35">
        <v>0</v>
      </c>
      <c r="T39" s="35">
        <v>0</v>
      </c>
      <c r="U39" s="34">
        <v>0</v>
      </c>
      <c r="V39" s="37">
        <v>30</v>
      </c>
      <c r="W39" s="35">
        <v>20</v>
      </c>
      <c r="X39" s="35">
        <v>0</v>
      </c>
      <c r="Y39" s="35">
        <v>0</v>
      </c>
      <c r="Z39" s="35">
        <v>30</v>
      </c>
      <c r="AA39" s="41">
        <f t="shared" si="0"/>
        <v>131</v>
      </c>
    </row>
    <row r="40" spans="1:30" x14ac:dyDescent="0.25">
      <c r="A40" s="41" t="s">
        <v>136</v>
      </c>
      <c r="B40" s="37">
        <v>0</v>
      </c>
      <c r="C40" s="35">
        <v>0</v>
      </c>
      <c r="D40" s="35">
        <v>8</v>
      </c>
      <c r="E40" s="35">
        <v>16</v>
      </c>
      <c r="F40" s="34">
        <v>24</v>
      </c>
      <c r="G40" s="37">
        <v>0</v>
      </c>
      <c r="H40" s="35">
        <v>0</v>
      </c>
      <c r="I40" s="35">
        <v>0</v>
      </c>
      <c r="J40" s="35">
        <v>0</v>
      </c>
      <c r="K40" s="34">
        <v>0</v>
      </c>
      <c r="L40" s="37">
        <v>0</v>
      </c>
      <c r="M40" s="35">
        <v>0</v>
      </c>
      <c r="N40" s="35">
        <v>0</v>
      </c>
      <c r="O40" s="35">
        <v>0</v>
      </c>
      <c r="P40" s="34">
        <v>0</v>
      </c>
      <c r="Q40" s="37">
        <v>0</v>
      </c>
      <c r="R40" s="35">
        <v>0</v>
      </c>
      <c r="S40" s="35">
        <v>0</v>
      </c>
      <c r="T40" s="35">
        <v>0</v>
      </c>
      <c r="U40" s="34">
        <v>0</v>
      </c>
      <c r="V40" s="37">
        <v>30</v>
      </c>
      <c r="W40" s="35">
        <v>20</v>
      </c>
      <c r="X40" s="35">
        <v>0</v>
      </c>
      <c r="Y40" s="35">
        <v>0</v>
      </c>
      <c r="Z40" s="35">
        <v>30</v>
      </c>
      <c r="AA40" s="41">
        <f t="shared" si="0"/>
        <v>128</v>
      </c>
    </row>
    <row r="41" spans="1:30" x14ac:dyDescent="0.25">
      <c r="A41" s="41" t="s">
        <v>137</v>
      </c>
      <c r="B41" s="37">
        <v>0</v>
      </c>
      <c r="C41" s="35">
        <v>0</v>
      </c>
      <c r="D41" s="35">
        <v>7</v>
      </c>
      <c r="E41" s="35">
        <v>16</v>
      </c>
      <c r="F41" s="34">
        <v>22</v>
      </c>
      <c r="G41" s="37">
        <v>0</v>
      </c>
      <c r="H41" s="35">
        <v>0</v>
      </c>
      <c r="I41" s="35">
        <v>0</v>
      </c>
      <c r="J41" s="35">
        <v>0</v>
      </c>
      <c r="K41" s="34">
        <v>0</v>
      </c>
      <c r="L41" s="37">
        <v>0</v>
      </c>
      <c r="M41" s="35">
        <v>0</v>
      </c>
      <c r="N41" s="35">
        <v>0</v>
      </c>
      <c r="O41" s="35">
        <v>0</v>
      </c>
      <c r="P41" s="34">
        <v>0</v>
      </c>
      <c r="Q41" s="37">
        <v>0</v>
      </c>
      <c r="R41" s="35">
        <v>0</v>
      </c>
      <c r="S41" s="35">
        <v>0</v>
      </c>
      <c r="T41" s="35">
        <v>0</v>
      </c>
      <c r="U41" s="34">
        <v>0</v>
      </c>
      <c r="V41" s="37">
        <v>30</v>
      </c>
      <c r="W41" s="35">
        <v>20</v>
      </c>
      <c r="X41" s="35">
        <v>0</v>
      </c>
      <c r="Y41" s="35">
        <v>0</v>
      </c>
      <c r="Z41" s="35">
        <v>30</v>
      </c>
      <c r="AA41" s="41">
        <f t="shared" si="0"/>
        <v>125</v>
      </c>
    </row>
    <row r="42" spans="1:30" x14ac:dyDescent="0.25">
      <c r="A42" s="41" t="s">
        <v>138</v>
      </c>
      <c r="B42" s="37">
        <v>0</v>
      </c>
      <c r="C42" s="35">
        <v>0</v>
      </c>
      <c r="D42" s="35">
        <v>6</v>
      </c>
      <c r="E42" s="35">
        <v>16</v>
      </c>
      <c r="F42" s="34">
        <v>20</v>
      </c>
      <c r="G42" s="37">
        <v>0</v>
      </c>
      <c r="H42" s="35">
        <v>0</v>
      </c>
      <c r="I42" s="35">
        <v>0</v>
      </c>
      <c r="J42" s="35">
        <v>0</v>
      </c>
      <c r="K42" s="34">
        <v>0</v>
      </c>
      <c r="L42" s="37">
        <v>0</v>
      </c>
      <c r="M42" s="35">
        <v>0</v>
      </c>
      <c r="N42" s="35">
        <v>0</v>
      </c>
      <c r="O42" s="35">
        <v>0</v>
      </c>
      <c r="P42" s="34">
        <v>0</v>
      </c>
      <c r="Q42" s="37">
        <v>0</v>
      </c>
      <c r="R42" s="35">
        <v>0</v>
      </c>
      <c r="S42" s="35">
        <v>0</v>
      </c>
      <c r="T42" s="35">
        <v>0</v>
      </c>
      <c r="U42" s="34">
        <v>0</v>
      </c>
      <c r="V42" s="37">
        <v>30</v>
      </c>
      <c r="W42" s="35">
        <v>20</v>
      </c>
      <c r="X42" s="35">
        <v>0</v>
      </c>
      <c r="Y42" s="35">
        <v>0</v>
      </c>
      <c r="Z42" s="35">
        <v>30</v>
      </c>
      <c r="AA42" s="41">
        <f t="shared" si="0"/>
        <v>122</v>
      </c>
    </row>
    <row r="43" spans="1:30" x14ac:dyDescent="0.25">
      <c r="A43" s="42" t="s">
        <v>139</v>
      </c>
      <c r="B43" s="2">
        <v>0</v>
      </c>
      <c r="C43" s="3">
        <v>0</v>
      </c>
      <c r="D43" s="3">
        <v>5</v>
      </c>
      <c r="E43" s="35">
        <v>16</v>
      </c>
      <c r="F43" s="4">
        <v>18</v>
      </c>
      <c r="G43" s="2">
        <v>0</v>
      </c>
      <c r="H43" s="3">
        <v>0</v>
      </c>
      <c r="I43" s="3">
        <v>0</v>
      </c>
      <c r="J43" s="3">
        <v>0</v>
      </c>
      <c r="K43" s="4">
        <v>0</v>
      </c>
      <c r="L43" s="2">
        <v>0</v>
      </c>
      <c r="M43" s="3">
        <v>0</v>
      </c>
      <c r="N43" s="3">
        <v>0</v>
      </c>
      <c r="O43" s="3">
        <v>0</v>
      </c>
      <c r="P43" s="4">
        <v>0</v>
      </c>
      <c r="Q43" s="2">
        <v>0</v>
      </c>
      <c r="R43" s="3">
        <v>0</v>
      </c>
      <c r="S43" s="3">
        <v>0</v>
      </c>
      <c r="T43" s="3">
        <v>0</v>
      </c>
      <c r="U43" s="3">
        <v>0</v>
      </c>
      <c r="V43" s="2">
        <v>30</v>
      </c>
      <c r="W43" s="3">
        <v>20</v>
      </c>
      <c r="X43" s="3">
        <v>0</v>
      </c>
      <c r="Y43" s="3">
        <v>0</v>
      </c>
      <c r="Z43" s="3">
        <v>30</v>
      </c>
      <c r="AA43" s="42">
        <f t="shared" si="0"/>
        <v>119</v>
      </c>
    </row>
    <row r="44" spans="1:30" x14ac:dyDescent="0.25">
      <c r="A44" s="80" t="s">
        <v>147</v>
      </c>
      <c r="B44" s="81">
        <v>0</v>
      </c>
      <c r="C44" s="82">
        <v>0</v>
      </c>
      <c r="D44" s="82">
        <v>0</v>
      </c>
      <c r="E44" s="82">
        <v>0</v>
      </c>
      <c r="F44" s="83">
        <v>0</v>
      </c>
      <c r="G44" s="81">
        <v>0</v>
      </c>
      <c r="H44" s="82">
        <v>0</v>
      </c>
      <c r="I44" s="82">
        <v>0</v>
      </c>
      <c r="J44" s="82">
        <v>0</v>
      </c>
      <c r="K44" s="83">
        <v>0</v>
      </c>
      <c r="L44" s="81">
        <v>0</v>
      </c>
      <c r="M44" s="82">
        <v>0</v>
      </c>
      <c r="N44" s="82">
        <v>0</v>
      </c>
      <c r="O44" s="82">
        <v>0</v>
      </c>
      <c r="P44" s="83">
        <v>0</v>
      </c>
      <c r="Q44" s="81">
        <v>0</v>
      </c>
      <c r="R44" s="82">
        <v>0</v>
      </c>
      <c r="S44" s="82">
        <v>0</v>
      </c>
      <c r="T44" s="82">
        <v>0</v>
      </c>
      <c r="U44" s="82">
        <v>0</v>
      </c>
      <c r="V44" s="81">
        <v>0</v>
      </c>
      <c r="W44" s="82">
        <v>0</v>
      </c>
      <c r="X44" s="82">
        <v>0</v>
      </c>
      <c r="Y44" s="82">
        <v>0</v>
      </c>
      <c r="Z44" s="82">
        <v>0</v>
      </c>
      <c r="AA44" s="80">
        <f t="shared" si="0"/>
        <v>0</v>
      </c>
    </row>
    <row r="45" spans="1:30" x14ac:dyDescent="0.25">
      <c r="A45" s="40" t="s">
        <v>166</v>
      </c>
      <c r="B45" s="35">
        <v>-10</v>
      </c>
      <c r="C45" s="35">
        <v>0</v>
      </c>
      <c r="D45" s="35">
        <v>0</v>
      </c>
      <c r="E45" s="35">
        <v>0</v>
      </c>
      <c r="F45" s="35">
        <v>0</v>
      </c>
      <c r="G45" s="37">
        <v>0</v>
      </c>
      <c r="H45" s="35">
        <v>0</v>
      </c>
      <c r="I45" s="35">
        <v>0</v>
      </c>
      <c r="J45" s="35">
        <v>0</v>
      </c>
      <c r="K45" s="34">
        <v>0</v>
      </c>
      <c r="L45" s="35">
        <v>0</v>
      </c>
      <c r="M45" s="35">
        <v>0</v>
      </c>
      <c r="N45" s="35">
        <v>0</v>
      </c>
      <c r="O45" s="35">
        <v>0</v>
      </c>
      <c r="P45" s="34">
        <v>0</v>
      </c>
      <c r="Q45" s="37">
        <v>0</v>
      </c>
      <c r="R45" s="35">
        <v>0</v>
      </c>
      <c r="S45" s="35">
        <v>0</v>
      </c>
      <c r="T45" s="35">
        <v>0</v>
      </c>
      <c r="U45" s="35">
        <v>0</v>
      </c>
      <c r="V45" s="37">
        <v>0</v>
      </c>
      <c r="W45" s="35">
        <v>0</v>
      </c>
      <c r="X45" s="35">
        <v>0</v>
      </c>
      <c r="Y45" s="35">
        <v>0</v>
      </c>
      <c r="Z45" s="35">
        <v>0</v>
      </c>
      <c r="AA45" s="41">
        <f t="shared" ref="AA45:AA76" si="1">SUM(B45:Z45)</f>
        <v>-10</v>
      </c>
    </row>
    <row r="46" spans="1:30" x14ac:dyDescent="0.25">
      <c r="A46" s="41" t="s">
        <v>167</v>
      </c>
      <c r="B46" s="35">
        <v>10</v>
      </c>
      <c r="C46" s="35">
        <v>0</v>
      </c>
      <c r="D46" s="35">
        <v>0</v>
      </c>
      <c r="E46" s="35">
        <v>0</v>
      </c>
      <c r="F46" s="35">
        <v>0</v>
      </c>
      <c r="G46" s="37">
        <v>0</v>
      </c>
      <c r="H46" s="35">
        <v>0</v>
      </c>
      <c r="I46" s="35">
        <v>0</v>
      </c>
      <c r="J46" s="35">
        <v>0</v>
      </c>
      <c r="K46" s="34">
        <v>0</v>
      </c>
      <c r="L46" s="35">
        <v>0</v>
      </c>
      <c r="M46" s="35">
        <v>0</v>
      </c>
      <c r="N46" s="35">
        <v>0</v>
      </c>
      <c r="O46" s="35">
        <v>0</v>
      </c>
      <c r="P46" s="34">
        <v>0</v>
      </c>
      <c r="Q46" s="37">
        <v>0</v>
      </c>
      <c r="R46" s="35">
        <v>0</v>
      </c>
      <c r="S46" s="35">
        <v>0</v>
      </c>
      <c r="T46" s="35">
        <v>0</v>
      </c>
      <c r="U46" s="35">
        <v>0</v>
      </c>
      <c r="V46" s="37">
        <v>0</v>
      </c>
      <c r="W46" s="35">
        <v>0</v>
      </c>
      <c r="X46" s="35">
        <v>0</v>
      </c>
      <c r="Y46" s="35">
        <v>0</v>
      </c>
      <c r="Z46" s="35">
        <v>0</v>
      </c>
      <c r="AA46" s="41">
        <f t="shared" si="1"/>
        <v>10</v>
      </c>
    </row>
    <row r="47" spans="1:30" x14ac:dyDescent="0.25">
      <c r="A47" s="41" t="s">
        <v>142</v>
      </c>
      <c r="B47" s="35">
        <v>0</v>
      </c>
      <c r="C47" s="35">
        <v>-10</v>
      </c>
      <c r="D47" s="35">
        <v>0</v>
      </c>
      <c r="E47" s="35">
        <v>0</v>
      </c>
      <c r="F47" s="35">
        <v>0</v>
      </c>
      <c r="G47" s="37">
        <v>0</v>
      </c>
      <c r="H47" s="35">
        <v>0</v>
      </c>
      <c r="I47" s="35">
        <v>0</v>
      </c>
      <c r="J47" s="35">
        <v>0</v>
      </c>
      <c r="K47" s="34">
        <v>0</v>
      </c>
      <c r="L47" s="35">
        <v>0</v>
      </c>
      <c r="M47" s="35">
        <v>0</v>
      </c>
      <c r="N47" s="35">
        <v>0</v>
      </c>
      <c r="O47" s="35">
        <v>0</v>
      </c>
      <c r="P47" s="34">
        <v>0</v>
      </c>
      <c r="Q47" s="37">
        <v>0</v>
      </c>
      <c r="R47" s="35">
        <v>0</v>
      </c>
      <c r="S47" s="35">
        <v>0</v>
      </c>
      <c r="T47" s="35">
        <v>0</v>
      </c>
      <c r="U47" s="35">
        <v>0</v>
      </c>
      <c r="V47" s="37">
        <v>0</v>
      </c>
      <c r="W47" s="35">
        <v>0</v>
      </c>
      <c r="X47" s="35">
        <v>0</v>
      </c>
      <c r="Y47" s="35">
        <v>0</v>
      </c>
      <c r="Z47" s="35">
        <v>0</v>
      </c>
      <c r="AA47" s="41">
        <f t="shared" si="1"/>
        <v>-10</v>
      </c>
    </row>
    <row r="48" spans="1:30" x14ac:dyDescent="0.25">
      <c r="A48" s="41" t="s">
        <v>141</v>
      </c>
      <c r="B48" s="35">
        <v>0</v>
      </c>
      <c r="C48" s="35">
        <v>10</v>
      </c>
      <c r="D48" s="35">
        <v>0</v>
      </c>
      <c r="E48" s="35">
        <v>0</v>
      </c>
      <c r="F48" s="35">
        <v>0</v>
      </c>
      <c r="G48" s="37">
        <v>0</v>
      </c>
      <c r="H48" s="35">
        <v>0</v>
      </c>
      <c r="I48" s="35">
        <v>0</v>
      </c>
      <c r="J48" s="35">
        <v>0</v>
      </c>
      <c r="K48" s="34">
        <v>0</v>
      </c>
      <c r="L48" s="35">
        <v>0</v>
      </c>
      <c r="M48" s="35">
        <v>0</v>
      </c>
      <c r="N48" s="35">
        <v>0</v>
      </c>
      <c r="O48" s="35">
        <v>0</v>
      </c>
      <c r="P48" s="34">
        <v>0</v>
      </c>
      <c r="Q48" s="37">
        <v>0</v>
      </c>
      <c r="R48" s="35">
        <v>0</v>
      </c>
      <c r="S48" s="35">
        <v>0</v>
      </c>
      <c r="T48" s="35">
        <v>0</v>
      </c>
      <c r="U48" s="35">
        <v>0</v>
      </c>
      <c r="V48" s="37">
        <v>0</v>
      </c>
      <c r="W48" s="35">
        <v>0</v>
      </c>
      <c r="X48" s="35">
        <v>0</v>
      </c>
      <c r="Y48" s="35">
        <v>0</v>
      </c>
      <c r="Z48" s="35">
        <v>0</v>
      </c>
      <c r="AA48" s="41">
        <f t="shared" si="1"/>
        <v>10</v>
      </c>
    </row>
    <row r="49" spans="1:30" x14ac:dyDescent="0.25">
      <c r="A49" s="41" t="s">
        <v>168</v>
      </c>
      <c r="B49" s="35">
        <v>0</v>
      </c>
      <c r="C49" s="35">
        <v>0</v>
      </c>
      <c r="D49" s="35">
        <v>-10</v>
      </c>
      <c r="E49" s="35">
        <v>0</v>
      </c>
      <c r="F49" s="35">
        <v>0</v>
      </c>
      <c r="G49" s="37">
        <v>0</v>
      </c>
      <c r="H49" s="35">
        <v>0</v>
      </c>
      <c r="I49" s="35">
        <v>0</v>
      </c>
      <c r="J49" s="35">
        <v>0</v>
      </c>
      <c r="K49" s="34">
        <v>0</v>
      </c>
      <c r="L49" s="35">
        <v>0</v>
      </c>
      <c r="M49" s="35">
        <v>0</v>
      </c>
      <c r="N49" s="35">
        <v>0</v>
      </c>
      <c r="O49" s="35">
        <v>0</v>
      </c>
      <c r="P49" s="34">
        <v>0</v>
      </c>
      <c r="Q49" s="37">
        <v>0</v>
      </c>
      <c r="R49" s="35">
        <v>0</v>
      </c>
      <c r="S49" s="35">
        <v>0</v>
      </c>
      <c r="T49" s="35">
        <v>0</v>
      </c>
      <c r="U49" s="35">
        <v>0</v>
      </c>
      <c r="V49" s="37">
        <v>0</v>
      </c>
      <c r="W49" s="35">
        <v>0</v>
      </c>
      <c r="X49" s="35">
        <v>0</v>
      </c>
      <c r="Y49" s="35">
        <v>0</v>
      </c>
      <c r="Z49" s="35">
        <v>0</v>
      </c>
      <c r="AA49" s="41">
        <f t="shared" si="1"/>
        <v>-10</v>
      </c>
    </row>
    <row r="50" spans="1:30" x14ac:dyDescent="0.25">
      <c r="A50" s="41" t="s">
        <v>169</v>
      </c>
      <c r="B50" s="35">
        <v>0</v>
      </c>
      <c r="C50" s="35">
        <v>0</v>
      </c>
      <c r="D50" s="35">
        <v>10</v>
      </c>
      <c r="E50" s="35">
        <v>0</v>
      </c>
      <c r="F50" s="35">
        <v>0</v>
      </c>
      <c r="G50" s="37">
        <v>0</v>
      </c>
      <c r="H50" s="35">
        <v>0</v>
      </c>
      <c r="I50" s="35">
        <v>0</v>
      </c>
      <c r="J50" s="35">
        <v>0</v>
      </c>
      <c r="K50" s="34">
        <v>0</v>
      </c>
      <c r="L50" s="35">
        <v>0</v>
      </c>
      <c r="M50" s="35">
        <v>0</v>
      </c>
      <c r="N50" s="35">
        <v>0</v>
      </c>
      <c r="O50" s="35">
        <v>0</v>
      </c>
      <c r="P50" s="34">
        <v>0</v>
      </c>
      <c r="Q50" s="37">
        <v>0</v>
      </c>
      <c r="R50" s="35">
        <v>0</v>
      </c>
      <c r="S50" s="35">
        <v>0</v>
      </c>
      <c r="T50" s="35">
        <v>0</v>
      </c>
      <c r="U50" s="35">
        <v>0</v>
      </c>
      <c r="V50" s="37">
        <v>0</v>
      </c>
      <c r="W50" s="35">
        <v>0</v>
      </c>
      <c r="X50" s="35">
        <v>0</v>
      </c>
      <c r="Y50" s="35">
        <v>0</v>
      </c>
      <c r="Z50" s="35">
        <v>0</v>
      </c>
      <c r="AA50" s="41">
        <f t="shared" si="1"/>
        <v>10</v>
      </c>
    </row>
    <row r="51" spans="1:30" x14ac:dyDescent="0.25">
      <c r="A51" s="41" t="s">
        <v>171</v>
      </c>
      <c r="B51" s="35">
        <v>0</v>
      </c>
      <c r="C51" s="35">
        <v>0</v>
      </c>
      <c r="D51" s="35">
        <v>0</v>
      </c>
      <c r="E51" s="35">
        <v>-10</v>
      </c>
      <c r="F51" s="35">
        <v>0</v>
      </c>
      <c r="G51" s="37">
        <v>0</v>
      </c>
      <c r="H51" s="35">
        <v>0</v>
      </c>
      <c r="I51" s="35">
        <v>0</v>
      </c>
      <c r="J51" s="35">
        <v>0</v>
      </c>
      <c r="K51" s="34">
        <v>0</v>
      </c>
      <c r="L51" s="35">
        <v>0</v>
      </c>
      <c r="M51" s="35">
        <v>0</v>
      </c>
      <c r="N51" s="35">
        <v>0</v>
      </c>
      <c r="O51" s="35">
        <v>0</v>
      </c>
      <c r="P51" s="34">
        <v>0</v>
      </c>
      <c r="Q51" s="37">
        <v>0</v>
      </c>
      <c r="R51" s="35">
        <v>0</v>
      </c>
      <c r="S51" s="35">
        <v>0</v>
      </c>
      <c r="T51" s="35">
        <v>0</v>
      </c>
      <c r="U51" s="35">
        <v>0</v>
      </c>
      <c r="V51" s="37">
        <v>0</v>
      </c>
      <c r="W51" s="35">
        <v>0</v>
      </c>
      <c r="X51" s="35">
        <v>0</v>
      </c>
      <c r="Y51" s="35">
        <v>0</v>
      </c>
      <c r="Z51" s="35">
        <v>0</v>
      </c>
      <c r="AA51" s="41">
        <f t="shared" si="1"/>
        <v>-10</v>
      </c>
    </row>
    <row r="52" spans="1:30" x14ac:dyDescent="0.25">
      <c r="A52" s="41" t="s">
        <v>170</v>
      </c>
      <c r="B52" s="35">
        <v>0</v>
      </c>
      <c r="C52" s="35">
        <v>0</v>
      </c>
      <c r="D52" s="35">
        <v>0</v>
      </c>
      <c r="E52" s="35">
        <v>10</v>
      </c>
      <c r="F52" s="35">
        <v>0</v>
      </c>
      <c r="G52" s="37">
        <v>0</v>
      </c>
      <c r="H52" s="35">
        <v>0</v>
      </c>
      <c r="I52" s="35">
        <v>0</v>
      </c>
      <c r="J52" s="35">
        <v>0</v>
      </c>
      <c r="K52" s="34">
        <v>0</v>
      </c>
      <c r="L52" s="35">
        <v>0</v>
      </c>
      <c r="M52" s="35">
        <v>0</v>
      </c>
      <c r="N52" s="35">
        <v>0</v>
      </c>
      <c r="O52" s="35">
        <v>0</v>
      </c>
      <c r="P52" s="34">
        <v>0</v>
      </c>
      <c r="Q52" s="37">
        <v>0</v>
      </c>
      <c r="R52" s="35">
        <v>0</v>
      </c>
      <c r="S52" s="35">
        <v>0</v>
      </c>
      <c r="T52" s="35">
        <v>0</v>
      </c>
      <c r="U52" s="35">
        <v>0</v>
      </c>
      <c r="V52" s="37">
        <v>0</v>
      </c>
      <c r="W52" s="35">
        <v>0</v>
      </c>
      <c r="X52" s="35">
        <v>0</v>
      </c>
      <c r="Y52" s="35">
        <v>0</v>
      </c>
      <c r="Z52" s="35">
        <v>0</v>
      </c>
      <c r="AA52" s="41">
        <f t="shared" si="1"/>
        <v>10</v>
      </c>
      <c r="AD52" s="1"/>
    </row>
    <row r="53" spans="1:30" x14ac:dyDescent="0.25">
      <c r="A53" s="41" t="s">
        <v>173</v>
      </c>
      <c r="B53" s="35">
        <v>0</v>
      </c>
      <c r="C53" s="35">
        <v>0</v>
      </c>
      <c r="D53" s="35">
        <v>0</v>
      </c>
      <c r="E53" s="35">
        <v>0</v>
      </c>
      <c r="F53" s="35">
        <v>-10</v>
      </c>
      <c r="G53" s="37">
        <v>0</v>
      </c>
      <c r="H53" s="35">
        <v>0</v>
      </c>
      <c r="I53" s="35">
        <v>0</v>
      </c>
      <c r="J53" s="35">
        <v>0</v>
      </c>
      <c r="K53" s="34">
        <v>0</v>
      </c>
      <c r="L53" s="35">
        <v>0</v>
      </c>
      <c r="M53" s="35">
        <v>0</v>
      </c>
      <c r="N53" s="35">
        <v>0</v>
      </c>
      <c r="O53" s="35">
        <v>0</v>
      </c>
      <c r="P53" s="34">
        <v>0</v>
      </c>
      <c r="Q53" s="37">
        <v>0</v>
      </c>
      <c r="R53" s="35">
        <v>0</v>
      </c>
      <c r="S53" s="35">
        <v>0</v>
      </c>
      <c r="T53" s="35">
        <v>0</v>
      </c>
      <c r="U53" s="35">
        <v>0</v>
      </c>
      <c r="V53" s="37">
        <v>0</v>
      </c>
      <c r="W53" s="35">
        <v>0</v>
      </c>
      <c r="X53" s="35">
        <v>0</v>
      </c>
      <c r="Y53" s="35">
        <v>0</v>
      </c>
      <c r="Z53" s="35">
        <v>0</v>
      </c>
      <c r="AA53" s="41">
        <f t="shared" si="1"/>
        <v>-10</v>
      </c>
      <c r="AD53" s="1"/>
    </row>
    <row r="54" spans="1:30" x14ac:dyDescent="0.25">
      <c r="A54" s="41" t="s">
        <v>172</v>
      </c>
      <c r="B54" s="35">
        <v>0</v>
      </c>
      <c r="C54" s="35">
        <v>0</v>
      </c>
      <c r="D54" s="35">
        <v>0</v>
      </c>
      <c r="E54" s="35">
        <v>0</v>
      </c>
      <c r="F54" s="35">
        <v>10</v>
      </c>
      <c r="G54" s="37">
        <v>0</v>
      </c>
      <c r="H54" s="35">
        <v>0</v>
      </c>
      <c r="I54" s="35">
        <v>0</v>
      </c>
      <c r="J54" s="35">
        <v>0</v>
      </c>
      <c r="K54" s="34">
        <v>0</v>
      </c>
      <c r="L54" s="35">
        <v>0</v>
      </c>
      <c r="M54" s="35">
        <v>0</v>
      </c>
      <c r="N54" s="35">
        <v>0</v>
      </c>
      <c r="O54" s="35">
        <v>0</v>
      </c>
      <c r="P54" s="34">
        <v>0</v>
      </c>
      <c r="Q54" s="37">
        <v>0</v>
      </c>
      <c r="R54" s="35">
        <v>0</v>
      </c>
      <c r="S54" s="35">
        <v>0</v>
      </c>
      <c r="T54" s="35">
        <v>0</v>
      </c>
      <c r="U54" s="35">
        <v>0</v>
      </c>
      <c r="V54" s="37">
        <v>0</v>
      </c>
      <c r="W54" s="35">
        <v>0</v>
      </c>
      <c r="X54" s="35">
        <v>0</v>
      </c>
      <c r="Y54" s="35">
        <v>0</v>
      </c>
      <c r="Z54" s="35">
        <v>0</v>
      </c>
      <c r="AA54" s="41">
        <f t="shared" si="1"/>
        <v>10</v>
      </c>
      <c r="AD54" s="1"/>
    </row>
    <row r="55" spans="1:30" x14ac:dyDescent="0.25">
      <c r="A55" s="41" t="s">
        <v>202</v>
      </c>
      <c r="B55" s="35">
        <v>0</v>
      </c>
      <c r="C55" s="35">
        <v>0</v>
      </c>
      <c r="D55" s="35">
        <v>0</v>
      </c>
      <c r="E55" s="35">
        <v>0</v>
      </c>
      <c r="F55" s="35">
        <v>0</v>
      </c>
      <c r="G55" s="37">
        <v>-10</v>
      </c>
      <c r="H55" s="35">
        <v>0</v>
      </c>
      <c r="I55" s="35">
        <v>0</v>
      </c>
      <c r="J55" s="35">
        <v>0</v>
      </c>
      <c r="K55" s="34">
        <v>0</v>
      </c>
      <c r="L55" s="35">
        <v>0</v>
      </c>
      <c r="M55" s="35">
        <v>0</v>
      </c>
      <c r="N55" s="35">
        <v>0</v>
      </c>
      <c r="O55" s="35">
        <v>0</v>
      </c>
      <c r="P55" s="34">
        <v>0</v>
      </c>
      <c r="Q55" s="37">
        <v>0</v>
      </c>
      <c r="R55" s="35">
        <v>0</v>
      </c>
      <c r="S55" s="35">
        <v>0</v>
      </c>
      <c r="T55" s="35">
        <v>0</v>
      </c>
      <c r="U55" s="35">
        <v>0</v>
      </c>
      <c r="V55" s="37">
        <v>0</v>
      </c>
      <c r="W55" s="35">
        <v>0</v>
      </c>
      <c r="X55" s="35">
        <v>0</v>
      </c>
      <c r="Y55" s="35">
        <v>0</v>
      </c>
      <c r="Z55" s="35">
        <v>0</v>
      </c>
      <c r="AA55" s="41">
        <f t="shared" si="1"/>
        <v>-10</v>
      </c>
    </row>
    <row r="56" spans="1:30" x14ac:dyDescent="0.25">
      <c r="A56" s="41" t="s">
        <v>204</v>
      </c>
      <c r="B56" s="35">
        <v>0</v>
      </c>
      <c r="C56" s="35">
        <v>0</v>
      </c>
      <c r="D56" s="35">
        <v>0</v>
      </c>
      <c r="E56" s="35">
        <v>0</v>
      </c>
      <c r="F56" s="35">
        <v>0</v>
      </c>
      <c r="G56" s="37">
        <v>10</v>
      </c>
      <c r="H56" s="35">
        <v>0</v>
      </c>
      <c r="I56" s="35">
        <v>0</v>
      </c>
      <c r="J56" s="35">
        <v>0</v>
      </c>
      <c r="K56" s="34">
        <v>0</v>
      </c>
      <c r="L56" s="35">
        <v>0</v>
      </c>
      <c r="M56" s="35">
        <v>0</v>
      </c>
      <c r="N56" s="35">
        <v>0</v>
      </c>
      <c r="O56" s="35">
        <v>0</v>
      </c>
      <c r="P56" s="34">
        <v>0</v>
      </c>
      <c r="Q56" s="37">
        <v>0</v>
      </c>
      <c r="R56" s="35">
        <v>0</v>
      </c>
      <c r="S56" s="35">
        <v>0</v>
      </c>
      <c r="T56" s="35">
        <v>0</v>
      </c>
      <c r="U56" s="35">
        <v>0</v>
      </c>
      <c r="V56" s="37">
        <v>0</v>
      </c>
      <c r="W56" s="35">
        <v>0</v>
      </c>
      <c r="X56" s="35">
        <v>0</v>
      </c>
      <c r="Y56" s="35">
        <v>0</v>
      </c>
      <c r="Z56" s="35">
        <v>0</v>
      </c>
      <c r="AA56" s="41">
        <f t="shared" si="1"/>
        <v>10</v>
      </c>
    </row>
    <row r="57" spans="1:30" x14ac:dyDescent="0.25">
      <c r="A57" s="41" t="s">
        <v>203</v>
      </c>
      <c r="B57" s="35">
        <v>0</v>
      </c>
      <c r="C57" s="35">
        <v>0</v>
      </c>
      <c r="D57" s="35">
        <v>0</v>
      </c>
      <c r="E57" s="35">
        <v>0</v>
      </c>
      <c r="F57" s="35">
        <v>0</v>
      </c>
      <c r="G57" s="37">
        <v>0</v>
      </c>
      <c r="H57" s="35">
        <v>-10</v>
      </c>
      <c r="I57" s="35">
        <v>0</v>
      </c>
      <c r="J57" s="35">
        <v>0</v>
      </c>
      <c r="K57" s="34">
        <v>0</v>
      </c>
      <c r="L57" s="35">
        <v>0</v>
      </c>
      <c r="M57" s="35">
        <v>0</v>
      </c>
      <c r="N57" s="35">
        <v>0</v>
      </c>
      <c r="O57" s="35">
        <v>0</v>
      </c>
      <c r="P57" s="34">
        <v>0</v>
      </c>
      <c r="Q57" s="37">
        <v>0</v>
      </c>
      <c r="R57" s="35">
        <v>0</v>
      </c>
      <c r="S57" s="35">
        <v>0</v>
      </c>
      <c r="T57" s="35">
        <v>0</v>
      </c>
      <c r="U57" s="35">
        <v>0</v>
      </c>
      <c r="V57" s="37">
        <v>0</v>
      </c>
      <c r="W57" s="35">
        <v>0</v>
      </c>
      <c r="X57" s="35">
        <v>0</v>
      </c>
      <c r="Y57" s="35">
        <v>0</v>
      </c>
      <c r="Z57" s="35">
        <v>0</v>
      </c>
      <c r="AA57" s="41">
        <f t="shared" si="1"/>
        <v>-10</v>
      </c>
    </row>
    <row r="58" spans="1:30" x14ac:dyDescent="0.25">
      <c r="A58" s="41" t="s">
        <v>205</v>
      </c>
      <c r="B58" s="35">
        <v>0</v>
      </c>
      <c r="C58" s="35">
        <v>0</v>
      </c>
      <c r="D58" s="35">
        <v>0</v>
      </c>
      <c r="E58" s="35">
        <v>0</v>
      </c>
      <c r="F58" s="35">
        <v>0</v>
      </c>
      <c r="G58" s="37">
        <v>0</v>
      </c>
      <c r="H58" s="35">
        <v>10</v>
      </c>
      <c r="I58" s="35">
        <v>0</v>
      </c>
      <c r="J58" s="35">
        <v>0</v>
      </c>
      <c r="K58" s="34">
        <v>0</v>
      </c>
      <c r="L58" s="35">
        <v>0</v>
      </c>
      <c r="M58" s="35">
        <v>0</v>
      </c>
      <c r="N58" s="35">
        <v>0</v>
      </c>
      <c r="O58" s="35">
        <v>0</v>
      </c>
      <c r="P58" s="34">
        <v>0</v>
      </c>
      <c r="Q58" s="37">
        <v>0</v>
      </c>
      <c r="R58" s="35">
        <v>0</v>
      </c>
      <c r="S58" s="35">
        <v>0</v>
      </c>
      <c r="T58" s="35">
        <v>0</v>
      </c>
      <c r="U58" s="35">
        <v>0</v>
      </c>
      <c r="V58" s="37">
        <v>0</v>
      </c>
      <c r="W58" s="35">
        <v>0</v>
      </c>
      <c r="X58" s="35">
        <v>0</v>
      </c>
      <c r="Y58" s="35">
        <v>0</v>
      </c>
      <c r="Z58" s="35">
        <v>0</v>
      </c>
      <c r="AA58" s="41">
        <f t="shared" si="1"/>
        <v>10</v>
      </c>
    </row>
    <row r="59" spans="1:30" x14ac:dyDescent="0.25">
      <c r="A59" s="41" t="s">
        <v>206</v>
      </c>
      <c r="B59" s="35">
        <v>0</v>
      </c>
      <c r="C59" s="35">
        <v>0</v>
      </c>
      <c r="D59" s="35">
        <v>0</v>
      </c>
      <c r="E59" s="35">
        <v>0</v>
      </c>
      <c r="F59" s="35">
        <v>0</v>
      </c>
      <c r="G59" s="37">
        <v>0</v>
      </c>
      <c r="H59" s="35">
        <v>0</v>
      </c>
      <c r="I59" s="35">
        <v>-10</v>
      </c>
      <c r="J59" s="35">
        <v>0</v>
      </c>
      <c r="K59" s="34">
        <v>0</v>
      </c>
      <c r="L59" s="35">
        <v>0</v>
      </c>
      <c r="M59" s="35">
        <v>0</v>
      </c>
      <c r="N59" s="35">
        <v>0</v>
      </c>
      <c r="O59" s="35">
        <v>0</v>
      </c>
      <c r="P59" s="34">
        <v>0</v>
      </c>
      <c r="Q59" s="37">
        <v>0</v>
      </c>
      <c r="R59" s="35">
        <v>0</v>
      </c>
      <c r="S59" s="35">
        <v>0</v>
      </c>
      <c r="T59" s="35">
        <v>0</v>
      </c>
      <c r="U59" s="35">
        <v>0</v>
      </c>
      <c r="V59" s="37">
        <v>0</v>
      </c>
      <c r="W59" s="35">
        <v>0</v>
      </c>
      <c r="X59" s="35">
        <v>0</v>
      </c>
      <c r="Y59" s="35">
        <v>0</v>
      </c>
      <c r="Z59" s="35">
        <v>0</v>
      </c>
      <c r="AA59" s="41">
        <f t="shared" si="1"/>
        <v>-10</v>
      </c>
    </row>
    <row r="60" spans="1:30" x14ac:dyDescent="0.25">
      <c r="A60" s="41" t="s">
        <v>207</v>
      </c>
      <c r="B60" s="35">
        <v>0</v>
      </c>
      <c r="C60" s="35">
        <v>0</v>
      </c>
      <c r="D60" s="35">
        <v>0</v>
      </c>
      <c r="E60" s="35">
        <v>0</v>
      </c>
      <c r="F60" s="35">
        <v>0</v>
      </c>
      <c r="G60" s="37">
        <v>0</v>
      </c>
      <c r="H60" s="35">
        <v>0</v>
      </c>
      <c r="I60" s="35">
        <v>10</v>
      </c>
      <c r="J60" s="35">
        <v>0</v>
      </c>
      <c r="K60" s="34">
        <v>0</v>
      </c>
      <c r="L60" s="35">
        <v>0</v>
      </c>
      <c r="M60" s="35">
        <v>0</v>
      </c>
      <c r="N60" s="35">
        <v>0</v>
      </c>
      <c r="O60" s="35">
        <v>0</v>
      </c>
      <c r="P60" s="34">
        <v>0</v>
      </c>
      <c r="Q60" s="37">
        <v>0</v>
      </c>
      <c r="R60" s="35">
        <v>0</v>
      </c>
      <c r="S60" s="35">
        <v>0</v>
      </c>
      <c r="T60" s="35">
        <v>0</v>
      </c>
      <c r="U60" s="35">
        <v>0</v>
      </c>
      <c r="V60" s="37">
        <v>0</v>
      </c>
      <c r="W60" s="35">
        <v>0</v>
      </c>
      <c r="X60" s="35">
        <v>0</v>
      </c>
      <c r="Y60" s="35">
        <v>0</v>
      </c>
      <c r="Z60" s="35">
        <v>0</v>
      </c>
      <c r="AA60" s="41">
        <f t="shared" si="1"/>
        <v>10</v>
      </c>
    </row>
    <row r="61" spans="1:30" x14ac:dyDescent="0.25">
      <c r="A61" s="41" t="s">
        <v>208</v>
      </c>
      <c r="B61" s="35">
        <v>0</v>
      </c>
      <c r="C61" s="35">
        <v>0</v>
      </c>
      <c r="D61" s="35">
        <v>0</v>
      </c>
      <c r="E61" s="35">
        <v>0</v>
      </c>
      <c r="F61" s="35">
        <v>0</v>
      </c>
      <c r="G61" s="37">
        <v>0</v>
      </c>
      <c r="H61" s="35">
        <v>0</v>
      </c>
      <c r="I61" s="35">
        <v>0</v>
      </c>
      <c r="J61" s="35">
        <v>-10</v>
      </c>
      <c r="K61" s="34">
        <v>0</v>
      </c>
      <c r="L61" s="35">
        <v>0</v>
      </c>
      <c r="M61" s="35">
        <v>0</v>
      </c>
      <c r="N61" s="35">
        <v>0</v>
      </c>
      <c r="O61" s="35">
        <v>0</v>
      </c>
      <c r="P61" s="34">
        <v>0</v>
      </c>
      <c r="Q61" s="37">
        <v>0</v>
      </c>
      <c r="R61" s="35">
        <v>0</v>
      </c>
      <c r="S61" s="35">
        <v>0</v>
      </c>
      <c r="T61" s="35">
        <v>0</v>
      </c>
      <c r="U61" s="35">
        <v>0</v>
      </c>
      <c r="V61" s="37">
        <v>0</v>
      </c>
      <c r="W61" s="35">
        <v>0</v>
      </c>
      <c r="X61" s="35">
        <v>0</v>
      </c>
      <c r="Y61" s="35">
        <v>0</v>
      </c>
      <c r="Z61" s="35">
        <v>0</v>
      </c>
      <c r="AA61" s="41">
        <f t="shared" si="1"/>
        <v>-10</v>
      </c>
    </row>
    <row r="62" spans="1:30" x14ac:dyDescent="0.25">
      <c r="A62" s="41" t="s">
        <v>209</v>
      </c>
      <c r="B62" s="35">
        <v>0</v>
      </c>
      <c r="C62" s="35">
        <v>0</v>
      </c>
      <c r="D62" s="35">
        <v>0</v>
      </c>
      <c r="E62" s="35">
        <v>0</v>
      </c>
      <c r="F62" s="35">
        <v>0</v>
      </c>
      <c r="G62" s="37">
        <v>0</v>
      </c>
      <c r="H62" s="35">
        <v>0</v>
      </c>
      <c r="I62" s="35">
        <v>0</v>
      </c>
      <c r="J62" s="35">
        <v>10</v>
      </c>
      <c r="K62" s="34">
        <v>0</v>
      </c>
      <c r="L62" s="35">
        <v>0</v>
      </c>
      <c r="M62" s="35">
        <v>0</v>
      </c>
      <c r="N62" s="35">
        <v>0</v>
      </c>
      <c r="O62" s="35">
        <v>0</v>
      </c>
      <c r="P62" s="34">
        <v>0</v>
      </c>
      <c r="Q62" s="37">
        <v>0</v>
      </c>
      <c r="R62" s="35">
        <v>0</v>
      </c>
      <c r="S62" s="35">
        <v>0</v>
      </c>
      <c r="T62" s="35">
        <v>0</v>
      </c>
      <c r="U62" s="35">
        <v>0</v>
      </c>
      <c r="V62" s="37">
        <v>0</v>
      </c>
      <c r="W62" s="35">
        <v>0</v>
      </c>
      <c r="X62" s="35">
        <v>0</v>
      </c>
      <c r="Y62" s="35">
        <v>0</v>
      </c>
      <c r="Z62" s="35">
        <v>0</v>
      </c>
      <c r="AA62" s="41">
        <f t="shared" si="1"/>
        <v>10</v>
      </c>
    </row>
    <row r="63" spans="1:30" x14ac:dyDescent="0.25">
      <c r="A63" s="41" t="s">
        <v>210</v>
      </c>
      <c r="B63" s="35">
        <v>0</v>
      </c>
      <c r="C63" s="35">
        <v>0</v>
      </c>
      <c r="D63" s="35">
        <v>0</v>
      </c>
      <c r="E63" s="35">
        <v>0</v>
      </c>
      <c r="F63" s="35">
        <v>0</v>
      </c>
      <c r="G63" s="37">
        <v>0</v>
      </c>
      <c r="H63" s="35">
        <v>0</v>
      </c>
      <c r="I63" s="35">
        <v>0</v>
      </c>
      <c r="J63" s="35">
        <v>0</v>
      </c>
      <c r="K63" s="34">
        <v>-10</v>
      </c>
      <c r="L63" s="35">
        <v>0</v>
      </c>
      <c r="M63" s="35">
        <v>0</v>
      </c>
      <c r="N63" s="35">
        <v>0</v>
      </c>
      <c r="O63" s="35">
        <v>0</v>
      </c>
      <c r="P63" s="34">
        <v>0</v>
      </c>
      <c r="Q63" s="37">
        <v>0</v>
      </c>
      <c r="R63" s="35">
        <v>0</v>
      </c>
      <c r="S63" s="35">
        <v>0</v>
      </c>
      <c r="T63" s="35">
        <v>0</v>
      </c>
      <c r="U63" s="35">
        <v>0</v>
      </c>
      <c r="V63" s="37">
        <v>0</v>
      </c>
      <c r="W63" s="35">
        <v>0</v>
      </c>
      <c r="X63" s="35">
        <v>0</v>
      </c>
      <c r="Y63" s="35">
        <v>0</v>
      </c>
      <c r="Z63" s="35">
        <v>0</v>
      </c>
      <c r="AA63" s="41">
        <f t="shared" si="1"/>
        <v>-10</v>
      </c>
    </row>
    <row r="64" spans="1:30" x14ac:dyDescent="0.25">
      <c r="A64" s="41" t="s">
        <v>211</v>
      </c>
      <c r="B64" s="35">
        <v>0</v>
      </c>
      <c r="C64" s="35">
        <v>0</v>
      </c>
      <c r="D64" s="35">
        <v>0</v>
      </c>
      <c r="E64" s="35">
        <v>0</v>
      </c>
      <c r="F64" s="35">
        <v>0</v>
      </c>
      <c r="G64" s="37">
        <v>0</v>
      </c>
      <c r="H64" s="35">
        <v>0</v>
      </c>
      <c r="I64" s="35">
        <v>0</v>
      </c>
      <c r="J64" s="35">
        <v>0</v>
      </c>
      <c r="K64" s="34">
        <v>10</v>
      </c>
      <c r="L64" s="35">
        <v>0</v>
      </c>
      <c r="M64" s="35">
        <v>0</v>
      </c>
      <c r="N64" s="35">
        <v>0</v>
      </c>
      <c r="O64" s="35">
        <v>0</v>
      </c>
      <c r="P64" s="34">
        <v>0</v>
      </c>
      <c r="Q64" s="37">
        <v>0</v>
      </c>
      <c r="R64" s="35">
        <v>0</v>
      </c>
      <c r="S64" s="35">
        <v>0</v>
      </c>
      <c r="T64" s="35">
        <v>0</v>
      </c>
      <c r="U64" s="35">
        <v>0</v>
      </c>
      <c r="V64" s="37">
        <v>0</v>
      </c>
      <c r="W64" s="35">
        <v>0</v>
      </c>
      <c r="X64" s="35">
        <v>0</v>
      </c>
      <c r="Y64" s="35">
        <v>0</v>
      </c>
      <c r="Z64" s="35">
        <v>0</v>
      </c>
      <c r="AA64" s="41">
        <f t="shared" si="1"/>
        <v>10</v>
      </c>
    </row>
    <row r="65" spans="1:27" x14ac:dyDescent="0.25">
      <c r="A65" s="41" t="s">
        <v>174</v>
      </c>
      <c r="B65" s="35">
        <v>0</v>
      </c>
      <c r="C65" s="35">
        <v>0</v>
      </c>
      <c r="D65" s="35">
        <v>0</v>
      </c>
      <c r="E65" s="35">
        <v>0</v>
      </c>
      <c r="F65" s="35">
        <v>0</v>
      </c>
      <c r="G65" s="37">
        <v>0</v>
      </c>
      <c r="H65" s="35">
        <v>0</v>
      </c>
      <c r="I65" s="35">
        <v>0</v>
      </c>
      <c r="J65" s="35">
        <v>0</v>
      </c>
      <c r="K65" s="34">
        <v>0</v>
      </c>
      <c r="L65" s="35">
        <v>-10</v>
      </c>
      <c r="M65" s="35">
        <v>0</v>
      </c>
      <c r="N65" s="35">
        <v>0</v>
      </c>
      <c r="O65" s="35">
        <v>0</v>
      </c>
      <c r="P65" s="34">
        <v>0</v>
      </c>
      <c r="Q65" s="37">
        <v>0</v>
      </c>
      <c r="R65" s="35">
        <v>0</v>
      </c>
      <c r="S65" s="35">
        <v>0</v>
      </c>
      <c r="T65" s="35">
        <v>0</v>
      </c>
      <c r="U65" s="35">
        <v>0</v>
      </c>
      <c r="V65" s="37">
        <v>0</v>
      </c>
      <c r="W65" s="35">
        <v>0</v>
      </c>
      <c r="X65" s="35">
        <v>0</v>
      </c>
      <c r="Y65" s="35">
        <v>0</v>
      </c>
      <c r="Z65" s="35">
        <v>0</v>
      </c>
      <c r="AA65" s="41">
        <f t="shared" si="1"/>
        <v>-10</v>
      </c>
    </row>
    <row r="66" spans="1:27" x14ac:dyDescent="0.25">
      <c r="A66" s="41" t="s">
        <v>175</v>
      </c>
      <c r="B66" s="35">
        <v>0</v>
      </c>
      <c r="C66" s="35">
        <v>0</v>
      </c>
      <c r="D66" s="35">
        <v>0</v>
      </c>
      <c r="E66" s="35">
        <v>0</v>
      </c>
      <c r="F66" s="35">
        <v>0</v>
      </c>
      <c r="G66" s="37">
        <v>0</v>
      </c>
      <c r="H66" s="35">
        <v>0</v>
      </c>
      <c r="I66" s="35">
        <v>0</v>
      </c>
      <c r="J66" s="35">
        <v>0</v>
      </c>
      <c r="K66" s="34">
        <v>0</v>
      </c>
      <c r="L66" s="35">
        <v>10</v>
      </c>
      <c r="M66" s="35">
        <v>0</v>
      </c>
      <c r="N66" s="35">
        <v>0</v>
      </c>
      <c r="O66" s="35">
        <v>0</v>
      </c>
      <c r="P66" s="34">
        <v>0</v>
      </c>
      <c r="Q66" s="37">
        <v>0</v>
      </c>
      <c r="R66" s="35">
        <v>0</v>
      </c>
      <c r="S66" s="35">
        <v>0</v>
      </c>
      <c r="T66" s="35">
        <v>0</v>
      </c>
      <c r="U66" s="35">
        <v>0</v>
      </c>
      <c r="V66" s="37">
        <v>0</v>
      </c>
      <c r="W66" s="35">
        <v>0</v>
      </c>
      <c r="X66" s="35">
        <v>0</v>
      </c>
      <c r="Y66" s="35">
        <v>0</v>
      </c>
      <c r="Z66" s="35">
        <v>0</v>
      </c>
      <c r="AA66" s="41">
        <f t="shared" si="1"/>
        <v>10</v>
      </c>
    </row>
    <row r="67" spans="1:27" x14ac:dyDescent="0.25">
      <c r="A67" s="41" t="s">
        <v>176</v>
      </c>
      <c r="B67" s="35">
        <v>0</v>
      </c>
      <c r="C67" s="35">
        <v>0</v>
      </c>
      <c r="D67" s="35">
        <v>0</v>
      </c>
      <c r="E67" s="35">
        <v>0</v>
      </c>
      <c r="F67" s="35">
        <v>0</v>
      </c>
      <c r="G67" s="37">
        <v>0</v>
      </c>
      <c r="H67" s="35">
        <v>0</v>
      </c>
      <c r="I67" s="35">
        <v>0</v>
      </c>
      <c r="J67" s="35">
        <v>0</v>
      </c>
      <c r="K67" s="34">
        <v>0</v>
      </c>
      <c r="L67" s="35">
        <v>0</v>
      </c>
      <c r="M67" s="35">
        <v>-10</v>
      </c>
      <c r="N67" s="35">
        <v>0</v>
      </c>
      <c r="O67" s="35">
        <v>0</v>
      </c>
      <c r="P67" s="34">
        <v>0</v>
      </c>
      <c r="Q67" s="37">
        <v>0</v>
      </c>
      <c r="R67" s="35">
        <v>0</v>
      </c>
      <c r="S67" s="35">
        <v>0</v>
      </c>
      <c r="T67" s="35">
        <v>0</v>
      </c>
      <c r="U67" s="35">
        <v>0</v>
      </c>
      <c r="V67" s="37">
        <v>0</v>
      </c>
      <c r="W67" s="35">
        <v>0</v>
      </c>
      <c r="X67" s="35">
        <v>0</v>
      </c>
      <c r="Y67" s="35">
        <v>0</v>
      </c>
      <c r="Z67" s="35">
        <v>0</v>
      </c>
      <c r="AA67" s="41">
        <f t="shared" si="1"/>
        <v>-10</v>
      </c>
    </row>
    <row r="68" spans="1:27" x14ac:dyDescent="0.25">
      <c r="A68" s="41" t="s">
        <v>177</v>
      </c>
      <c r="B68" s="35">
        <v>0</v>
      </c>
      <c r="C68" s="35">
        <v>0</v>
      </c>
      <c r="D68" s="35">
        <v>0</v>
      </c>
      <c r="E68" s="35">
        <v>0</v>
      </c>
      <c r="F68" s="35">
        <v>0</v>
      </c>
      <c r="G68" s="37">
        <v>0</v>
      </c>
      <c r="H68" s="35">
        <v>0</v>
      </c>
      <c r="I68" s="35">
        <v>0</v>
      </c>
      <c r="J68" s="35">
        <v>0</v>
      </c>
      <c r="K68" s="34">
        <v>0</v>
      </c>
      <c r="L68" s="35">
        <v>0</v>
      </c>
      <c r="M68" s="35">
        <v>10</v>
      </c>
      <c r="N68" s="35">
        <v>0</v>
      </c>
      <c r="O68" s="35">
        <v>0</v>
      </c>
      <c r="P68" s="34">
        <v>0</v>
      </c>
      <c r="Q68" s="37">
        <v>0</v>
      </c>
      <c r="R68" s="35">
        <v>0</v>
      </c>
      <c r="S68" s="35">
        <v>0</v>
      </c>
      <c r="T68" s="35">
        <v>0</v>
      </c>
      <c r="U68" s="35">
        <v>0</v>
      </c>
      <c r="V68" s="37">
        <v>0</v>
      </c>
      <c r="W68" s="35">
        <v>0</v>
      </c>
      <c r="X68" s="35">
        <v>0</v>
      </c>
      <c r="Y68" s="35">
        <v>0</v>
      </c>
      <c r="Z68" s="35">
        <v>0</v>
      </c>
      <c r="AA68" s="41">
        <f t="shared" si="1"/>
        <v>10</v>
      </c>
    </row>
    <row r="69" spans="1:27" x14ac:dyDescent="0.25">
      <c r="A69" s="41" t="s">
        <v>178</v>
      </c>
      <c r="B69" s="35">
        <v>0</v>
      </c>
      <c r="C69" s="35">
        <v>0</v>
      </c>
      <c r="D69" s="35">
        <v>0</v>
      </c>
      <c r="E69" s="35">
        <v>0</v>
      </c>
      <c r="F69" s="35">
        <v>0</v>
      </c>
      <c r="G69" s="37">
        <v>0</v>
      </c>
      <c r="H69" s="35">
        <v>0</v>
      </c>
      <c r="I69" s="35">
        <v>0</v>
      </c>
      <c r="J69" s="35">
        <v>0</v>
      </c>
      <c r="K69" s="34">
        <v>0</v>
      </c>
      <c r="L69" s="35">
        <v>0</v>
      </c>
      <c r="M69" s="35">
        <v>0</v>
      </c>
      <c r="N69" s="35">
        <v>-10</v>
      </c>
      <c r="O69" s="35">
        <v>0</v>
      </c>
      <c r="P69" s="34">
        <v>0</v>
      </c>
      <c r="Q69" s="37">
        <v>0</v>
      </c>
      <c r="R69" s="35">
        <v>0</v>
      </c>
      <c r="S69" s="35">
        <v>0</v>
      </c>
      <c r="T69" s="35">
        <v>0</v>
      </c>
      <c r="U69" s="35">
        <v>0</v>
      </c>
      <c r="V69" s="37">
        <v>0</v>
      </c>
      <c r="W69" s="35">
        <v>0</v>
      </c>
      <c r="X69" s="35">
        <v>0</v>
      </c>
      <c r="Y69" s="35">
        <v>0</v>
      </c>
      <c r="Z69" s="35">
        <v>0</v>
      </c>
      <c r="AA69" s="41">
        <f t="shared" si="1"/>
        <v>-10</v>
      </c>
    </row>
    <row r="70" spans="1:27" x14ac:dyDescent="0.25">
      <c r="A70" s="41" t="s">
        <v>179</v>
      </c>
      <c r="B70" s="35">
        <v>0</v>
      </c>
      <c r="C70" s="35">
        <v>0</v>
      </c>
      <c r="D70" s="35">
        <v>0</v>
      </c>
      <c r="E70" s="35">
        <v>0</v>
      </c>
      <c r="F70" s="35">
        <v>0</v>
      </c>
      <c r="G70" s="37">
        <v>0</v>
      </c>
      <c r="H70" s="35">
        <v>0</v>
      </c>
      <c r="I70" s="35">
        <v>0</v>
      </c>
      <c r="J70" s="35">
        <v>0</v>
      </c>
      <c r="K70" s="34">
        <v>0</v>
      </c>
      <c r="L70" s="35">
        <v>0</v>
      </c>
      <c r="M70" s="35">
        <v>0</v>
      </c>
      <c r="N70" s="35">
        <v>10</v>
      </c>
      <c r="O70" s="35">
        <v>0</v>
      </c>
      <c r="P70" s="34">
        <v>0</v>
      </c>
      <c r="Q70" s="37">
        <v>0</v>
      </c>
      <c r="R70" s="35">
        <v>0</v>
      </c>
      <c r="S70" s="35">
        <v>0</v>
      </c>
      <c r="T70" s="35">
        <v>0</v>
      </c>
      <c r="U70" s="35">
        <v>0</v>
      </c>
      <c r="V70" s="37">
        <v>0</v>
      </c>
      <c r="W70" s="35">
        <v>0</v>
      </c>
      <c r="X70" s="35">
        <v>0</v>
      </c>
      <c r="Y70" s="35">
        <v>0</v>
      </c>
      <c r="Z70" s="35">
        <v>0</v>
      </c>
      <c r="AA70" s="41">
        <f t="shared" si="1"/>
        <v>10</v>
      </c>
    </row>
    <row r="71" spans="1:27" x14ac:dyDescent="0.25">
      <c r="A71" s="41" t="s">
        <v>180</v>
      </c>
      <c r="B71" s="35">
        <v>0</v>
      </c>
      <c r="C71" s="35">
        <v>0</v>
      </c>
      <c r="D71" s="35">
        <v>0</v>
      </c>
      <c r="E71" s="35">
        <v>0</v>
      </c>
      <c r="F71" s="35">
        <v>0</v>
      </c>
      <c r="G71" s="37">
        <v>0</v>
      </c>
      <c r="H71" s="35">
        <v>0</v>
      </c>
      <c r="I71" s="35">
        <v>0</v>
      </c>
      <c r="J71" s="35">
        <v>0</v>
      </c>
      <c r="K71" s="34">
        <v>0</v>
      </c>
      <c r="L71" s="35">
        <v>0</v>
      </c>
      <c r="M71" s="35">
        <v>0</v>
      </c>
      <c r="N71" s="35">
        <v>0</v>
      </c>
      <c r="O71" s="35">
        <v>-10</v>
      </c>
      <c r="P71" s="34">
        <v>0</v>
      </c>
      <c r="Q71" s="37">
        <v>0</v>
      </c>
      <c r="R71" s="35">
        <v>0</v>
      </c>
      <c r="S71" s="35">
        <v>0</v>
      </c>
      <c r="T71" s="35">
        <v>0</v>
      </c>
      <c r="U71" s="35">
        <v>0</v>
      </c>
      <c r="V71" s="37">
        <v>0</v>
      </c>
      <c r="W71" s="35">
        <v>0</v>
      </c>
      <c r="X71" s="35">
        <v>0</v>
      </c>
      <c r="Y71" s="35">
        <v>0</v>
      </c>
      <c r="Z71" s="35">
        <v>0</v>
      </c>
      <c r="AA71" s="41">
        <f t="shared" si="1"/>
        <v>-10</v>
      </c>
    </row>
    <row r="72" spans="1:27" x14ac:dyDescent="0.25">
      <c r="A72" s="41" t="s">
        <v>181</v>
      </c>
      <c r="B72" s="35">
        <v>0</v>
      </c>
      <c r="C72" s="35">
        <v>0</v>
      </c>
      <c r="D72" s="35">
        <v>0</v>
      </c>
      <c r="E72" s="35">
        <v>0</v>
      </c>
      <c r="F72" s="35">
        <v>0</v>
      </c>
      <c r="G72" s="37">
        <v>0</v>
      </c>
      <c r="H72" s="35">
        <v>0</v>
      </c>
      <c r="I72" s="35">
        <v>0</v>
      </c>
      <c r="J72" s="35">
        <v>0</v>
      </c>
      <c r="K72" s="34">
        <v>0</v>
      </c>
      <c r="L72" s="35">
        <v>0</v>
      </c>
      <c r="M72" s="35">
        <v>0</v>
      </c>
      <c r="N72" s="35">
        <v>0</v>
      </c>
      <c r="O72" s="35">
        <v>10</v>
      </c>
      <c r="P72" s="34">
        <v>0</v>
      </c>
      <c r="Q72" s="37">
        <v>0</v>
      </c>
      <c r="R72" s="35">
        <v>0</v>
      </c>
      <c r="S72" s="35">
        <v>0</v>
      </c>
      <c r="T72" s="35">
        <v>0</v>
      </c>
      <c r="U72" s="35">
        <v>0</v>
      </c>
      <c r="V72" s="37">
        <v>0</v>
      </c>
      <c r="W72" s="35">
        <v>0</v>
      </c>
      <c r="X72" s="35">
        <v>0</v>
      </c>
      <c r="Y72" s="35">
        <v>0</v>
      </c>
      <c r="Z72" s="35">
        <v>0</v>
      </c>
      <c r="AA72" s="41">
        <f t="shared" si="1"/>
        <v>10</v>
      </c>
    </row>
    <row r="73" spans="1:27" x14ac:dyDescent="0.25">
      <c r="A73" s="41" t="s">
        <v>144</v>
      </c>
      <c r="B73" s="35">
        <v>0</v>
      </c>
      <c r="C73" s="35">
        <v>0</v>
      </c>
      <c r="D73" s="35">
        <v>0</v>
      </c>
      <c r="E73" s="35">
        <v>0</v>
      </c>
      <c r="F73" s="35">
        <v>0</v>
      </c>
      <c r="G73" s="37">
        <v>0</v>
      </c>
      <c r="H73" s="35">
        <v>0</v>
      </c>
      <c r="I73" s="35">
        <v>0</v>
      </c>
      <c r="J73" s="35">
        <v>0</v>
      </c>
      <c r="K73" s="34">
        <v>0</v>
      </c>
      <c r="L73" s="35">
        <v>0</v>
      </c>
      <c r="M73" s="35">
        <v>0</v>
      </c>
      <c r="N73" s="35">
        <v>0</v>
      </c>
      <c r="O73" s="35">
        <v>0</v>
      </c>
      <c r="P73" s="34">
        <v>-10</v>
      </c>
      <c r="Q73" s="37">
        <v>0</v>
      </c>
      <c r="R73" s="35">
        <v>0</v>
      </c>
      <c r="S73" s="35">
        <v>0</v>
      </c>
      <c r="T73" s="35">
        <v>0</v>
      </c>
      <c r="U73" s="35">
        <v>0</v>
      </c>
      <c r="V73" s="37">
        <v>0</v>
      </c>
      <c r="W73" s="35">
        <v>0</v>
      </c>
      <c r="X73" s="35">
        <v>0</v>
      </c>
      <c r="Y73" s="35">
        <v>0</v>
      </c>
      <c r="Z73" s="35">
        <v>0</v>
      </c>
      <c r="AA73" s="41">
        <f t="shared" si="1"/>
        <v>-10</v>
      </c>
    </row>
    <row r="74" spans="1:27" x14ac:dyDescent="0.25">
      <c r="A74" s="41" t="s">
        <v>143</v>
      </c>
      <c r="B74" s="35">
        <v>0</v>
      </c>
      <c r="C74" s="35">
        <v>0</v>
      </c>
      <c r="D74" s="35">
        <v>0</v>
      </c>
      <c r="E74" s="35">
        <v>0</v>
      </c>
      <c r="F74" s="35">
        <v>0</v>
      </c>
      <c r="G74" s="37">
        <v>0</v>
      </c>
      <c r="H74" s="35">
        <v>0</v>
      </c>
      <c r="I74" s="35">
        <v>0</v>
      </c>
      <c r="J74" s="35">
        <v>0</v>
      </c>
      <c r="K74" s="34">
        <v>0</v>
      </c>
      <c r="L74" s="35">
        <v>0</v>
      </c>
      <c r="M74" s="35">
        <v>0</v>
      </c>
      <c r="N74" s="35">
        <v>0</v>
      </c>
      <c r="O74" s="35">
        <v>0</v>
      </c>
      <c r="P74" s="34">
        <v>10</v>
      </c>
      <c r="Q74" s="37">
        <v>0</v>
      </c>
      <c r="R74" s="35">
        <v>0</v>
      </c>
      <c r="S74" s="35">
        <v>0</v>
      </c>
      <c r="T74" s="35">
        <v>0</v>
      </c>
      <c r="U74" s="35">
        <v>0</v>
      </c>
      <c r="V74" s="37">
        <v>0</v>
      </c>
      <c r="W74" s="35">
        <v>0</v>
      </c>
      <c r="X74" s="35">
        <v>0</v>
      </c>
      <c r="Y74" s="35">
        <v>0</v>
      </c>
      <c r="Z74" s="35">
        <v>0</v>
      </c>
      <c r="AA74" s="41">
        <f t="shared" si="1"/>
        <v>10</v>
      </c>
    </row>
    <row r="75" spans="1:27" x14ac:dyDescent="0.25">
      <c r="A75" s="41" t="s">
        <v>217</v>
      </c>
      <c r="B75" s="35">
        <v>0</v>
      </c>
      <c r="C75" s="35">
        <v>0</v>
      </c>
      <c r="D75" s="35">
        <v>0</v>
      </c>
      <c r="E75" s="35">
        <v>0</v>
      </c>
      <c r="F75" s="35">
        <v>0</v>
      </c>
      <c r="G75" s="37">
        <v>0</v>
      </c>
      <c r="H75" s="35">
        <v>0</v>
      </c>
      <c r="I75" s="35">
        <v>0</v>
      </c>
      <c r="J75" s="35">
        <v>0</v>
      </c>
      <c r="K75" s="34">
        <v>0</v>
      </c>
      <c r="L75" s="35">
        <v>0</v>
      </c>
      <c r="M75" s="35">
        <v>0</v>
      </c>
      <c r="N75" s="35">
        <v>0</v>
      </c>
      <c r="O75" s="35">
        <v>0</v>
      </c>
      <c r="P75" s="34">
        <v>0</v>
      </c>
      <c r="Q75" s="37">
        <v>-10</v>
      </c>
      <c r="R75" s="35">
        <v>0</v>
      </c>
      <c r="S75" s="35">
        <v>0</v>
      </c>
      <c r="T75" s="35">
        <v>0</v>
      </c>
      <c r="U75" s="35">
        <v>0</v>
      </c>
      <c r="V75" s="37">
        <v>0</v>
      </c>
      <c r="W75" s="35">
        <v>0</v>
      </c>
      <c r="X75" s="35">
        <v>0</v>
      </c>
      <c r="Y75" s="35">
        <v>0</v>
      </c>
      <c r="Z75" s="35">
        <v>0</v>
      </c>
      <c r="AA75" s="41">
        <f t="shared" si="1"/>
        <v>-10</v>
      </c>
    </row>
    <row r="76" spans="1:27" x14ac:dyDescent="0.25">
      <c r="A76" s="41" t="s">
        <v>216</v>
      </c>
      <c r="B76" s="35">
        <v>0</v>
      </c>
      <c r="C76" s="35">
        <v>0</v>
      </c>
      <c r="D76" s="35">
        <v>0</v>
      </c>
      <c r="E76" s="35">
        <v>0</v>
      </c>
      <c r="F76" s="35">
        <v>0</v>
      </c>
      <c r="G76" s="37">
        <v>0</v>
      </c>
      <c r="H76" s="35">
        <v>0</v>
      </c>
      <c r="I76" s="35">
        <v>0</v>
      </c>
      <c r="J76" s="35">
        <v>0</v>
      </c>
      <c r="K76" s="34">
        <v>0</v>
      </c>
      <c r="L76" s="35">
        <v>0</v>
      </c>
      <c r="M76" s="35">
        <v>0</v>
      </c>
      <c r="N76" s="35">
        <v>0</v>
      </c>
      <c r="O76" s="35">
        <v>0</v>
      </c>
      <c r="P76" s="34">
        <v>0</v>
      </c>
      <c r="Q76" s="37">
        <v>10</v>
      </c>
      <c r="R76" s="35">
        <v>0</v>
      </c>
      <c r="S76" s="35">
        <v>0</v>
      </c>
      <c r="T76" s="35">
        <v>0</v>
      </c>
      <c r="U76" s="35">
        <v>0</v>
      </c>
      <c r="V76" s="37">
        <v>0</v>
      </c>
      <c r="W76" s="35">
        <v>0</v>
      </c>
      <c r="X76" s="35">
        <v>0</v>
      </c>
      <c r="Y76" s="35">
        <v>0</v>
      </c>
      <c r="Z76" s="35">
        <v>0</v>
      </c>
      <c r="AA76" s="41">
        <f t="shared" si="1"/>
        <v>10</v>
      </c>
    </row>
    <row r="77" spans="1:27" x14ac:dyDescent="0.25">
      <c r="A77" s="41" t="s">
        <v>215</v>
      </c>
      <c r="B77" s="35">
        <v>0</v>
      </c>
      <c r="C77" s="35">
        <v>0</v>
      </c>
      <c r="D77" s="35">
        <v>0</v>
      </c>
      <c r="E77" s="35">
        <v>0</v>
      </c>
      <c r="F77" s="35">
        <v>0</v>
      </c>
      <c r="G77" s="37">
        <v>0</v>
      </c>
      <c r="H77" s="35">
        <v>0</v>
      </c>
      <c r="I77" s="35">
        <v>0</v>
      </c>
      <c r="J77" s="35">
        <v>0</v>
      </c>
      <c r="K77" s="34">
        <v>0</v>
      </c>
      <c r="L77" s="35">
        <v>0</v>
      </c>
      <c r="M77" s="35">
        <v>0</v>
      </c>
      <c r="N77" s="35">
        <v>0</v>
      </c>
      <c r="O77" s="35">
        <v>0</v>
      </c>
      <c r="P77" s="34">
        <v>0</v>
      </c>
      <c r="Q77" s="37">
        <v>0</v>
      </c>
      <c r="R77" s="35">
        <v>-10</v>
      </c>
      <c r="S77" s="35">
        <v>0</v>
      </c>
      <c r="T77" s="35">
        <v>0</v>
      </c>
      <c r="U77" s="35">
        <v>0</v>
      </c>
      <c r="V77" s="37">
        <v>0</v>
      </c>
      <c r="W77" s="35">
        <v>0</v>
      </c>
      <c r="X77" s="35">
        <v>0</v>
      </c>
      <c r="Y77" s="35">
        <v>0</v>
      </c>
      <c r="Z77" s="35">
        <v>0</v>
      </c>
      <c r="AA77" s="41">
        <f t="shared" ref="AA77:AA109" si="2">SUM(B77:Z77)</f>
        <v>-10</v>
      </c>
    </row>
    <row r="78" spans="1:27" x14ac:dyDescent="0.25">
      <c r="A78" s="41" t="s">
        <v>214</v>
      </c>
      <c r="B78" s="35">
        <v>0</v>
      </c>
      <c r="C78" s="35">
        <v>0</v>
      </c>
      <c r="D78" s="35">
        <v>0</v>
      </c>
      <c r="E78" s="35">
        <v>0</v>
      </c>
      <c r="F78" s="35">
        <v>0</v>
      </c>
      <c r="G78" s="37">
        <v>0</v>
      </c>
      <c r="H78" s="35">
        <v>0</v>
      </c>
      <c r="I78" s="35">
        <v>0</v>
      </c>
      <c r="J78" s="35">
        <v>0</v>
      </c>
      <c r="K78" s="34">
        <v>0</v>
      </c>
      <c r="L78" s="35">
        <v>0</v>
      </c>
      <c r="M78" s="35">
        <v>0</v>
      </c>
      <c r="N78" s="35">
        <v>0</v>
      </c>
      <c r="O78" s="35">
        <v>0</v>
      </c>
      <c r="P78" s="34">
        <v>0</v>
      </c>
      <c r="Q78" s="37">
        <v>0</v>
      </c>
      <c r="R78" s="35">
        <v>10</v>
      </c>
      <c r="S78" s="35">
        <v>0</v>
      </c>
      <c r="T78" s="35">
        <v>0</v>
      </c>
      <c r="U78" s="35">
        <v>0</v>
      </c>
      <c r="V78" s="37">
        <v>0</v>
      </c>
      <c r="W78" s="35">
        <v>0</v>
      </c>
      <c r="X78" s="35">
        <v>0</v>
      </c>
      <c r="Y78" s="35">
        <v>0</v>
      </c>
      <c r="Z78" s="35">
        <v>0</v>
      </c>
      <c r="AA78" s="41">
        <f t="shared" si="2"/>
        <v>10</v>
      </c>
    </row>
    <row r="79" spans="1:27" x14ac:dyDescent="0.25">
      <c r="A79" s="41" t="s">
        <v>213</v>
      </c>
      <c r="B79" s="35">
        <v>0</v>
      </c>
      <c r="C79" s="35">
        <v>0</v>
      </c>
      <c r="D79" s="35">
        <v>0</v>
      </c>
      <c r="E79" s="35">
        <v>0</v>
      </c>
      <c r="F79" s="35">
        <v>0</v>
      </c>
      <c r="G79" s="37">
        <v>0</v>
      </c>
      <c r="H79" s="35">
        <v>0</v>
      </c>
      <c r="I79" s="35">
        <v>0</v>
      </c>
      <c r="J79" s="35">
        <v>0</v>
      </c>
      <c r="K79" s="34">
        <v>0</v>
      </c>
      <c r="L79" s="35">
        <v>0</v>
      </c>
      <c r="M79" s="35">
        <v>0</v>
      </c>
      <c r="N79" s="35">
        <v>0</v>
      </c>
      <c r="O79" s="35">
        <v>0</v>
      </c>
      <c r="P79" s="34">
        <v>0</v>
      </c>
      <c r="Q79" s="37">
        <v>0</v>
      </c>
      <c r="R79" s="35">
        <v>0</v>
      </c>
      <c r="S79" s="35">
        <v>-10</v>
      </c>
      <c r="T79" s="35">
        <v>0</v>
      </c>
      <c r="U79" s="35">
        <v>0</v>
      </c>
      <c r="V79" s="37">
        <v>0</v>
      </c>
      <c r="W79" s="35">
        <v>0</v>
      </c>
      <c r="X79" s="35">
        <v>0</v>
      </c>
      <c r="Y79" s="35">
        <v>0</v>
      </c>
      <c r="Z79" s="35">
        <v>0</v>
      </c>
      <c r="AA79" s="41">
        <f t="shared" si="2"/>
        <v>-10</v>
      </c>
    </row>
    <row r="80" spans="1:27" x14ac:dyDescent="0.25">
      <c r="A80" s="41" t="s">
        <v>212</v>
      </c>
      <c r="B80" s="35">
        <v>0</v>
      </c>
      <c r="C80" s="35">
        <v>0</v>
      </c>
      <c r="D80" s="35">
        <v>0</v>
      </c>
      <c r="E80" s="35">
        <v>0</v>
      </c>
      <c r="F80" s="35">
        <v>0</v>
      </c>
      <c r="G80" s="37">
        <v>0</v>
      </c>
      <c r="H80" s="35">
        <v>0</v>
      </c>
      <c r="I80" s="35">
        <v>0</v>
      </c>
      <c r="J80" s="35">
        <v>0</v>
      </c>
      <c r="K80" s="34">
        <v>0</v>
      </c>
      <c r="L80" s="35">
        <v>0</v>
      </c>
      <c r="M80" s="35">
        <v>0</v>
      </c>
      <c r="N80" s="35">
        <v>0</v>
      </c>
      <c r="O80" s="35">
        <v>0</v>
      </c>
      <c r="P80" s="34">
        <v>0</v>
      </c>
      <c r="Q80" s="37">
        <v>0</v>
      </c>
      <c r="R80" s="35">
        <v>0</v>
      </c>
      <c r="S80" s="35">
        <v>10</v>
      </c>
      <c r="T80" s="35">
        <v>0</v>
      </c>
      <c r="U80" s="35">
        <v>0</v>
      </c>
      <c r="V80" s="37">
        <v>0</v>
      </c>
      <c r="W80" s="35">
        <v>0</v>
      </c>
      <c r="X80" s="35">
        <v>0</v>
      </c>
      <c r="Y80" s="35">
        <v>0</v>
      </c>
      <c r="Z80" s="35">
        <v>0</v>
      </c>
      <c r="AA80" s="41">
        <f t="shared" si="2"/>
        <v>10</v>
      </c>
    </row>
    <row r="81" spans="1:29" x14ac:dyDescent="0.25">
      <c r="A81" s="41" t="s">
        <v>182</v>
      </c>
      <c r="B81" s="35">
        <v>0</v>
      </c>
      <c r="C81" s="35">
        <v>0</v>
      </c>
      <c r="D81" s="35">
        <v>0</v>
      </c>
      <c r="E81" s="35">
        <v>0</v>
      </c>
      <c r="F81" s="35">
        <v>0</v>
      </c>
      <c r="G81" s="37">
        <v>0</v>
      </c>
      <c r="H81" s="35">
        <v>0</v>
      </c>
      <c r="I81" s="35">
        <v>0</v>
      </c>
      <c r="J81" s="35">
        <v>0</v>
      </c>
      <c r="K81" s="34">
        <v>0</v>
      </c>
      <c r="L81" s="35">
        <v>0</v>
      </c>
      <c r="M81" s="35">
        <v>0</v>
      </c>
      <c r="N81" s="35">
        <v>0</v>
      </c>
      <c r="O81" s="35">
        <v>0</v>
      </c>
      <c r="P81" s="34">
        <v>0</v>
      </c>
      <c r="Q81" s="37">
        <v>0</v>
      </c>
      <c r="R81" s="35">
        <v>0</v>
      </c>
      <c r="S81" s="35">
        <v>0</v>
      </c>
      <c r="T81" s="35">
        <v>-10</v>
      </c>
      <c r="U81" s="35">
        <v>0</v>
      </c>
      <c r="V81" s="37">
        <v>0</v>
      </c>
      <c r="W81" s="35">
        <v>0</v>
      </c>
      <c r="X81" s="35">
        <v>0</v>
      </c>
      <c r="Y81" s="35">
        <v>0</v>
      </c>
      <c r="Z81" s="35">
        <v>0</v>
      </c>
      <c r="AA81" s="41">
        <f t="shared" si="2"/>
        <v>-10</v>
      </c>
    </row>
    <row r="82" spans="1:29" x14ac:dyDescent="0.25">
      <c r="A82" s="41" t="s">
        <v>183</v>
      </c>
      <c r="B82" s="35">
        <v>0</v>
      </c>
      <c r="C82" s="35">
        <v>0</v>
      </c>
      <c r="D82" s="35">
        <v>0</v>
      </c>
      <c r="E82" s="35">
        <v>0</v>
      </c>
      <c r="F82" s="34">
        <v>0</v>
      </c>
      <c r="G82" s="37">
        <v>0</v>
      </c>
      <c r="H82" s="35">
        <v>0</v>
      </c>
      <c r="I82" s="35">
        <v>0</v>
      </c>
      <c r="J82" s="35">
        <v>0</v>
      </c>
      <c r="K82" s="34">
        <v>0</v>
      </c>
      <c r="L82" s="35">
        <v>0</v>
      </c>
      <c r="M82" s="35">
        <v>0</v>
      </c>
      <c r="N82" s="35">
        <v>0</v>
      </c>
      <c r="O82" s="35">
        <v>0</v>
      </c>
      <c r="P82" s="34">
        <v>0</v>
      </c>
      <c r="Q82" s="37">
        <v>0</v>
      </c>
      <c r="R82" s="35">
        <v>0</v>
      </c>
      <c r="S82" s="35">
        <v>0</v>
      </c>
      <c r="T82" s="35">
        <v>10</v>
      </c>
      <c r="U82" s="35">
        <v>0</v>
      </c>
      <c r="V82" s="37">
        <v>0</v>
      </c>
      <c r="W82" s="35">
        <v>0</v>
      </c>
      <c r="X82" s="35">
        <v>0</v>
      </c>
      <c r="Y82" s="35">
        <v>0</v>
      </c>
      <c r="Z82" s="34">
        <v>0</v>
      </c>
      <c r="AA82" s="41">
        <f t="shared" si="2"/>
        <v>10</v>
      </c>
    </row>
    <row r="83" spans="1:29" x14ac:dyDescent="0.25">
      <c r="A83" s="41" t="s">
        <v>184</v>
      </c>
      <c r="B83" s="35">
        <v>0</v>
      </c>
      <c r="C83" s="35">
        <v>0</v>
      </c>
      <c r="D83" s="35">
        <v>0</v>
      </c>
      <c r="E83" s="35">
        <v>0</v>
      </c>
      <c r="F83" s="35">
        <v>0</v>
      </c>
      <c r="G83" s="37">
        <v>0</v>
      </c>
      <c r="H83" s="35">
        <v>0</v>
      </c>
      <c r="I83" s="35">
        <v>0</v>
      </c>
      <c r="J83" s="35">
        <v>0</v>
      </c>
      <c r="K83" s="34">
        <v>0</v>
      </c>
      <c r="L83" s="35">
        <v>0</v>
      </c>
      <c r="M83" s="35">
        <v>0</v>
      </c>
      <c r="N83" s="35">
        <v>0</v>
      </c>
      <c r="O83" s="35">
        <v>0</v>
      </c>
      <c r="P83" s="34">
        <v>0</v>
      </c>
      <c r="Q83" s="37">
        <v>0</v>
      </c>
      <c r="R83" s="35">
        <v>0</v>
      </c>
      <c r="S83" s="35">
        <v>0</v>
      </c>
      <c r="T83" s="35">
        <v>0</v>
      </c>
      <c r="U83" s="35">
        <v>-10</v>
      </c>
      <c r="V83" s="37">
        <v>0</v>
      </c>
      <c r="W83" s="35">
        <v>0</v>
      </c>
      <c r="X83" s="35">
        <v>0</v>
      </c>
      <c r="Y83" s="35">
        <v>0</v>
      </c>
      <c r="Z83" s="35">
        <v>0</v>
      </c>
      <c r="AA83" s="41">
        <f t="shared" si="2"/>
        <v>-10</v>
      </c>
      <c r="AC83" s="8"/>
    </row>
    <row r="84" spans="1:29" x14ac:dyDescent="0.25">
      <c r="A84" s="41" t="s">
        <v>185</v>
      </c>
      <c r="B84" s="35">
        <v>0</v>
      </c>
      <c r="C84" s="35">
        <v>0</v>
      </c>
      <c r="D84" s="35">
        <v>0</v>
      </c>
      <c r="E84" s="35">
        <v>0</v>
      </c>
      <c r="F84" s="35">
        <v>0</v>
      </c>
      <c r="G84" s="37">
        <v>0</v>
      </c>
      <c r="H84" s="35">
        <v>0</v>
      </c>
      <c r="I84" s="35">
        <v>0</v>
      </c>
      <c r="J84" s="35">
        <v>0</v>
      </c>
      <c r="K84" s="34">
        <v>0</v>
      </c>
      <c r="L84" s="35">
        <v>0</v>
      </c>
      <c r="M84" s="35">
        <v>0</v>
      </c>
      <c r="N84" s="35">
        <v>0</v>
      </c>
      <c r="O84" s="35">
        <v>0</v>
      </c>
      <c r="P84" s="34">
        <v>0</v>
      </c>
      <c r="Q84" s="37">
        <v>0</v>
      </c>
      <c r="R84" s="35">
        <v>0</v>
      </c>
      <c r="S84" s="35">
        <v>0</v>
      </c>
      <c r="T84" s="35">
        <v>0</v>
      </c>
      <c r="U84" s="35">
        <v>10</v>
      </c>
      <c r="V84" s="37">
        <v>0</v>
      </c>
      <c r="W84" s="35">
        <v>0</v>
      </c>
      <c r="X84" s="35">
        <v>0</v>
      </c>
      <c r="Y84" s="35">
        <v>0</v>
      </c>
      <c r="Z84" s="35">
        <v>0</v>
      </c>
      <c r="AA84" s="41">
        <f t="shared" si="2"/>
        <v>10</v>
      </c>
    </row>
    <row r="85" spans="1:29" x14ac:dyDescent="0.25">
      <c r="A85" s="41" t="s">
        <v>186</v>
      </c>
      <c r="B85" s="35">
        <v>0</v>
      </c>
      <c r="C85" s="35">
        <v>0</v>
      </c>
      <c r="D85" s="35">
        <v>0</v>
      </c>
      <c r="E85" s="35">
        <v>0</v>
      </c>
      <c r="F85" s="35">
        <v>0</v>
      </c>
      <c r="G85" s="37">
        <v>0</v>
      </c>
      <c r="H85" s="35">
        <v>0</v>
      </c>
      <c r="I85" s="35">
        <v>0</v>
      </c>
      <c r="J85" s="35">
        <v>0</v>
      </c>
      <c r="K85" s="34">
        <v>0</v>
      </c>
      <c r="L85" s="35">
        <v>0</v>
      </c>
      <c r="M85" s="35">
        <v>0</v>
      </c>
      <c r="N85" s="35">
        <v>0</v>
      </c>
      <c r="O85" s="35">
        <v>0</v>
      </c>
      <c r="P85" s="34">
        <v>0</v>
      </c>
      <c r="Q85" s="37">
        <v>0</v>
      </c>
      <c r="R85" s="35">
        <v>0</v>
      </c>
      <c r="S85" s="35">
        <v>0</v>
      </c>
      <c r="T85" s="35">
        <v>0</v>
      </c>
      <c r="U85" s="35">
        <v>0</v>
      </c>
      <c r="V85" s="37">
        <v>-10</v>
      </c>
      <c r="W85" s="35">
        <v>0</v>
      </c>
      <c r="X85" s="35">
        <v>0</v>
      </c>
      <c r="Y85" s="35">
        <v>0</v>
      </c>
      <c r="Z85" s="35">
        <v>0</v>
      </c>
      <c r="AA85" s="41">
        <f t="shared" si="2"/>
        <v>-10</v>
      </c>
    </row>
    <row r="86" spans="1:29" x14ac:dyDescent="0.25">
      <c r="A86" s="41" t="s">
        <v>187</v>
      </c>
      <c r="B86" s="35">
        <v>0</v>
      </c>
      <c r="C86" s="35">
        <v>0</v>
      </c>
      <c r="D86" s="35">
        <v>0</v>
      </c>
      <c r="E86" s="35">
        <v>0</v>
      </c>
      <c r="F86" s="35">
        <v>0</v>
      </c>
      <c r="G86" s="37">
        <v>0</v>
      </c>
      <c r="H86" s="35">
        <v>0</v>
      </c>
      <c r="I86" s="35">
        <v>0</v>
      </c>
      <c r="J86" s="35">
        <v>0</v>
      </c>
      <c r="K86" s="34">
        <v>0</v>
      </c>
      <c r="L86" s="35">
        <v>0</v>
      </c>
      <c r="M86" s="35">
        <v>0</v>
      </c>
      <c r="N86" s="35">
        <v>0</v>
      </c>
      <c r="O86" s="35">
        <v>0</v>
      </c>
      <c r="P86" s="34">
        <v>0</v>
      </c>
      <c r="Q86" s="37">
        <v>0</v>
      </c>
      <c r="R86" s="35">
        <v>0</v>
      </c>
      <c r="S86" s="35">
        <v>0</v>
      </c>
      <c r="T86" s="35">
        <v>0</v>
      </c>
      <c r="U86" s="35">
        <v>0</v>
      </c>
      <c r="V86" s="37">
        <v>10</v>
      </c>
      <c r="W86" s="35">
        <v>0</v>
      </c>
      <c r="X86" s="35">
        <v>0</v>
      </c>
      <c r="Y86" s="35">
        <v>0</v>
      </c>
      <c r="Z86" s="35">
        <v>0</v>
      </c>
      <c r="AA86" s="41">
        <f t="shared" si="2"/>
        <v>10</v>
      </c>
    </row>
    <row r="87" spans="1:29" x14ac:dyDescent="0.25">
      <c r="A87" s="41" t="s">
        <v>188</v>
      </c>
      <c r="B87" s="35">
        <v>0</v>
      </c>
      <c r="C87" s="35">
        <v>0</v>
      </c>
      <c r="D87" s="35">
        <v>0</v>
      </c>
      <c r="E87" s="35">
        <v>0</v>
      </c>
      <c r="F87" s="35">
        <v>0</v>
      </c>
      <c r="G87" s="37">
        <v>0</v>
      </c>
      <c r="H87" s="35">
        <v>0</v>
      </c>
      <c r="I87" s="35">
        <v>0</v>
      </c>
      <c r="J87" s="35">
        <v>0</v>
      </c>
      <c r="K87" s="34">
        <v>0</v>
      </c>
      <c r="L87" s="35">
        <v>0</v>
      </c>
      <c r="M87" s="35">
        <v>0</v>
      </c>
      <c r="N87" s="35">
        <v>0</v>
      </c>
      <c r="O87" s="35">
        <v>0</v>
      </c>
      <c r="P87" s="34">
        <v>0</v>
      </c>
      <c r="Q87" s="37">
        <v>0</v>
      </c>
      <c r="R87" s="35">
        <v>0</v>
      </c>
      <c r="S87" s="35">
        <v>0</v>
      </c>
      <c r="T87" s="35">
        <v>0</v>
      </c>
      <c r="U87" s="35">
        <v>0</v>
      </c>
      <c r="V87" s="37">
        <v>0</v>
      </c>
      <c r="W87" s="35">
        <v>-10</v>
      </c>
      <c r="X87" s="35">
        <v>0</v>
      </c>
      <c r="Y87" s="35">
        <v>0</v>
      </c>
      <c r="Z87" s="35">
        <v>0</v>
      </c>
      <c r="AA87" s="41">
        <f t="shared" si="2"/>
        <v>-10</v>
      </c>
    </row>
    <row r="88" spans="1:29" x14ac:dyDescent="0.25">
      <c r="A88" s="41" t="s">
        <v>189</v>
      </c>
      <c r="B88" s="35">
        <v>0</v>
      </c>
      <c r="C88" s="35">
        <v>0</v>
      </c>
      <c r="D88" s="35">
        <v>0</v>
      </c>
      <c r="E88" s="35">
        <v>0</v>
      </c>
      <c r="F88" s="35">
        <v>0</v>
      </c>
      <c r="G88" s="37">
        <v>0</v>
      </c>
      <c r="H88" s="35">
        <v>0</v>
      </c>
      <c r="I88" s="35">
        <v>0</v>
      </c>
      <c r="J88" s="35">
        <v>0</v>
      </c>
      <c r="K88" s="34">
        <v>0</v>
      </c>
      <c r="L88" s="35">
        <v>0</v>
      </c>
      <c r="M88" s="35">
        <v>0</v>
      </c>
      <c r="N88" s="35">
        <v>0</v>
      </c>
      <c r="O88" s="35">
        <v>0</v>
      </c>
      <c r="P88" s="34">
        <v>0</v>
      </c>
      <c r="Q88" s="37">
        <v>0</v>
      </c>
      <c r="R88" s="35">
        <v>0</v>
      </c>
      <c r="S88" s="35">
        <v>0</v>
      </c>
      <c r="T88" s="35">
        <v>0</v>
      </c>
      <c r="U88" s="35">
        <v>0</v>
      </c>
      <c r="V88" s="37">
        <v>0</v>
      </c>
      <c r="W88" s="35">
        <v>10</v>
      </c>
      <c r="X88" s="35">
        <v>0</v>
      </c>
      <c r="Y88" s="35">
        <v>0</v>
      </c>
      <c r="Z88" s="35">
        <v>0</v>
      </c>
      <c r="AA88" s="41">
        <f t="shared" si="2"/>
        <v>10</v>
      </c>
    </row>
    <row r="89" spans="1:29" x14ac:dyDescent="0.25">
      <c r="A89" s="41" t="s">
        <v>191</v>
      </c>
      <c r="B89" s="35">
        <v>0</v>
      </c>
      <c r="C89" s="35">
        <v>0</v>
      </c>
      <c r="D89" s="35">
        <v>0</v>
      </c>
      <c r="E89" s="35">
        <v>0</v>
      </c>
      <c r="F89" s="35">
        <v>0</v>
      </c>
      <c r="G89" s="37">
        <v>0</v>
      </c>
      <c r="H89" s="35">
        <v>0</v>
      </c>
      <c r="I89" s="35">
        <v>0</v>
      </c>
      <c r="J89" s="35">
        <v>0</v>
      </c>
      <c r="K89" s="34">
        <v>0</v>
      </c>
      <c r="L89" s="35">
        <v>0</v>
      </c>
      <c r="M89" s="35">
        <v>0</v>
      </c>
      <c r="N89" s="35">
        <v>0</v>
      </c>
      <c r="O89" s="35">
        <v>0</v>
      </c>
      <c r="P89" s="34">
        <v>0</v>
      </c>
      <c r="Q89" s="37">
        <v>0</v>
      </c>
      <c r="R89" s="35">
        <v>0</v>
      </c>
      <c r="S89" s="35">
        <v>0</v>
      </c>
      <c r="T89" s="35">
        <v>0</v>
      </c>
      <c r="U89" s="35">
        <v>0</v>
      </c>
      <c r="V89" s="37">
        <v>0</v>
      </c>
      <c r="W89" s="35">
        <v>0</v>
      </c>
      <c r="X89" s="35">
        <v>-25</v>
      </c>
      <c r="Y89" s="35">
        <v>0</v>
      </c>
      <c r="Z89" s="35">
        <v>0</v>
      </c>
      <c r="AA89" s="41">
        <f t="shared" si="2"/>
        <v>-25</v>
      </c>
    </row>
    <row r="90" spans="1:29" x14ac:dyDescent="0.25">
      <c r="A90" s="41" t="s">
        <v>190</v>
      </c>
      <c r="B90" s="35">
        <v>0</v>
      </c>
      <c r="C90" s="35">
        <v>0</v>
      </c>
      <c r="D90" s="35">
        <v>0</v>
      </c>
      <c r="E90" s="35">
        <v>0</v>
      </c>
      <c r="F90" s="35">
        <v>0</v>
      </c>
      <c r="G90" s="37">
        <v>0</v>
      </c>
      <c r="H90" s="35">
        <v>0</v>
      </c>
      <c r="I90" s="35">
        <v>0</v>
      </c>
      <c r="J90" s="35">
        <v>0</v>
      </c>
      <c r="K90" s="34">
        <v>0</v>
      </c>
      <c r="L90" s="35">
        <v>0</v>
      </c>
      <c r="M90" s="35">
        <v>0</v>
      </c>
      <c r="N90" s="35">
        <v>0</v>
      </c>
      <c r="O90" s="35">
        <v>0</v>
      </c>
      <c r="P90" s="34">
        <v>0</v>
      </c>
      <c r="Q90" s="37">
        <v>0</v>
      </c>
      <c r="R90" s="35">
        <v>0</v>
      </c>
      <c r="S90" s="35">
        <v>0</v>
      </c>
      <c r="T90" s="35">
        <v>0</v>
      </c>
      <c r="U90" s="35">
        <v>0</v>
      </c>
      <c r="V90" s="37">
        <v>0</v>
      </c>
      <c r="W90" s="35">
        <v>0</v>
      </c>
      <c r="X90" s="35">
        <v>25</v>
      </c>
      <c r="Y90" s="35">
        <v>0</v>
      </c>
      <c r="Z90" s="35">
        <v>0</v>
      </c>
      <c r="AA90" s="41">
        <f t="shared" si="2"/>
        <v>25</v>
      </c>
    </row>
    <row r="91" spans="1:29" x14ac:dyDescent="0.25">
      <c r="A91" s="41" t="s">
        <v>192</v>
      </c>
      <c r="B91" s="35">
        <v>0</v>
      </c>
      <c r="C91" s="35">
        <v>0</v>
      </c>
      <c r="D91" s="35">
        <v>0</v>
      </c>
      <c r="E91" s="35">
        <v>0</v>
      </c>
      <c r="F91" s="35">
        <v>0</v>
      </c>
      <c r="G91" s="37">
        <v>0</v>
      </c>
      <c r="H91" s="35">
        <v>0</v>
      </c>
      <c r="I91" s="35">
        <v>0</v>
      </c>
      <c r="J91" s="35">
        <v>0</v>
      </c>
      <c r="K91" s="34">
        <v>0</v>
      </c>
      <c r="L91" s="35">
        <v>0</v>
      </c>
      <c r="M91" s="35">
        <v>0</v>
      </c>
      <c r="N91" s="35">
        <v>0</v>
      </c>
      <c r="O91" s="35">
        <v>0</v>
      </c>
      <c r="P91" s="34">
        <v>0</v>
      </c>
      <c r="Q91" s="37">
        <v>0</v>
      </c>
      <c r="R91" s="35">
        <v>0</v>
      </c>
      <c r="S91" s="35">
        <v>0</v>
      </c>
      <c r="T91" s="35">
        <v>0</v>
      </c>
      <c r="U91" s="35">
        <v>0</v>
      </c>
      <c r="V91" s="37">
        <v>0</v>
      </c>
      <c r="W91" s="35">
        <v>0</v>
      </c>
      <c r="X91" s="35">
        <v>0</v>
      </c>
      <c r="Y91" s="35">
        <v>-25</v>
      </c>
      <c r="Z91" s="35">
        <v>0</v>
      </c>
      <c r="AA91" s="41">
        <f t="shared" si="2"/>
        <v>-25</v>
      </c>
    </row>
    <row r="92" spans="1:29" x14ac:dyDescent="0.25">
      <c r="A92" s="41" t="s">
        <v>193</v>
      </c>
      <c r="B92" s="35">
        <v>0</v>
      </c>
      <c r="C92" s="35">
        <v>0</v>
      </c>
      <c r="D92" s="35">
        <v>0</v>
      </c>
      <c r="E92" s="35">
        <v>0</v>
      </c>
      <c r="F92" s="35">
        <v>0</v>
      </c>
      <c r="G92" s="37">
        <v>0</v>
      </c>
      <c r="H92" s="35">
        <v>0</v>
      </c>
      <c r="I92" s="35">
        <v>0</v>
      </c>
      <c r="J92" s="35">
        <v>0</v>
      </c>
      <c r="K92" s="34">
        <v>0</v>
      </c>
      <c r="L92" s="35">
        <v>0</v>
      </c>
      <c r="M92" s="35">
        <v>0</v>
      </c>
      <c r="N92" s="35">
        <v>0</v>
      </c>
      <c r="O92" s="35">
        <v>0</v>
      </c>
      <c r="P92" s="34">
        <v>0</v>
      </c>
      <c r="Q92" s="37">
        <v>0</v>
      </c>
      <c r="R92" s="35">
        <v>0</v>
      </c>
      <c r="S92" s="35">
        <v>0</v>
      </c>
      <c r="T92" s="35">
        <v>0</v>
      </c>
      <c r="U92" s="35">
        <v>0</v>
      </c>
      <c r="V92" s="37">
        <v>0</v>
      </c>
      <c r="W92" s="35">
        <v>0</v>
      </c>
      <c r="X92" s="35">
        <v>0</v>
      </c>
      <c r="Y92" s="35">
        <v>25</v>
      </c>
      <c r="Z92" s="35">
        <v>0</v>
      </c>
      <c r="AA92" s="41">
        <f t="shared" si="2"/>
        <v>25</v>
      </c>
    </row>
    <row r="93" spans="1:29" x14ac:dyDescent="0.25">
      <c r="A93" s="41" t="s">
        <v>194</v>
      </c>
      <c r="B93" s="35">
        <v>0</v>
      </c>
      <c r="C93" s="35">
        <v>0</v>
      </c>
      <c r="D93" s="35">
        <v>0</v>
      </c>
      <c r="E93" s="35">
        <v>0</v>
      </c>
      <c r="F93" s="35">
        <v>0</v>
      </c>
      <c r="G93" s="37">
        <v>0</v>
      </c>
      <c r="H93" s="35">
        <v>0</v>
      </c>
      <c r="I93" s="35">
        <v>0</v>
      </c>
      <c r="J93" s="35">
        <v>0</v>
      </c>
      <c r="K93" s="34">
        <v>0</v>
      </c>
      <c r="L93" s="35">
        <v>0</v>
      </c>
      <c r="M93" s="35">
        <v>0</v>
      </c>
      <c r="N93" s="35">
        <v>0</v>
      </c>
      <c r="O93" s="35">
        <v>0</v>
      </c>
      <c r="P93" s="34">
        <v>0</v>
      </c>
      <c r="Q93" s="37">
        <v>0</v>
      </c>
      <c r="R93" s="35">
        <v>0</v>
      </c>
      <c r="S93" s="35">
        <v>0</v>
      </c>
      <c r="T93" s="35">
        <v>0</v>
      </c>
      <c r="U93" s="35">
        <v>0</v>
      </c>
      <c r="V93" s="37">
        <v>0</v>
      </c>
      <c r="W93" s="35">
        <v>0</v>
      </c>
      <c r="X93" s="35">
        <v>0</v>
      </c>
      <c r="Y93" s="35">
        <v>0</v>
      </c>
      <c r="Z93" s="35">
        <v>-10</v>
      </c>
      <c r="AA93" s="41">
        <f t="shared" si="2"/>
        <v>-10</v>
      </c>
    </row>
    <row r="94" spans="1:29" x14ac:dyDescent="0.25">
      <c r="A94" s="42" t="s">
        <v>195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2">
        <v>0</v>
      </c>
      <c r="H94" s="3">
        <v>0</v>
      </c>
      <c r="I94" s="3">
        <v>0</v>
      </c>
      <c r="J94" s="3">
        <v>0</v>
      </c>
      <c r="K94" s="4">
        <v>0</v>
      </c>
      <c r="L94" s="3">
        <v>0</v>
      </c>
      <c r="M94" s="3">
        <v>0</v>
      </c>
      <c r="N94" s="3">
        <v>0</v>
      </c>
      <c r="O94" s="3">
        <v>0</v>
      </c>
      <c r="P94" s="4">
        <v>0</v>
      </c>
      <c r="Q94" s="2">
        <v>0</v>
      </c>
      <c r="R94" s="3">
        <v>0</v>
      </c>
      <c r="S94" s="3">
        <v>0</v>
      </c>
      <c r="T94" s="3">
        <v>0</v>
      </c>
      <c r="U94" s="3">
        <v>0</v>
      </c>
      <c r="V94" s="2">
        <v>0</v>
      </c>
      <c r="W94" s="3">
        <v>0</v>
      </c>
      <c r="X94" s="3">
        <v>0</v>
      </c>
      <c r="Y94" s="3">
        <v>0</v>
      </c>
      <c r="Z94" s="3">
        <v>10</v>
      </c>
      <c r="AA94" s="42">
        <f t="shared" si="2"/>
        <v>10</v>
      </c>
    </row>
    <row r="95" spans="1:29" x14ac:dyDescent="0.25">
      <c r="A95" s="40" t="s">
        <v>196</v>
      </c>
      <c r="B95" s="36">
        <v>0</v>
      </c>
      <c r="C95" s="36">
        <v>0</v>
      </c>
      <c r="D95" s="36">
        <v>0</v>
      </c>
      <c r="E95" s="36">
        <v>0</v>
      </c>
      <c r="F95" s="36">
        <v>0</v>
      </c>
      <c r="G95" s="38">
        <v>-10</v>
      </c>
      <c r="H95" s="36">
        <v>0</v>
      </c>
      <c r="I95" s="36">
        <v>0</v>
      </c>
      <c r="J95" s="36">
        <v>0</v>
      </c>
      <c r="K95" s="33">
        <v>0</v>
      </c>
      <c r="L95" s="36">
        <v>0</v>
      </c>
      <c r="M95" s="36">
        <v>0</v>
      </c>
      <c r="N95" s="36">
        <v>0</v>
      </c>
      <c r="O95" s="36">
        <v>0</v>
      </c>
      <c r="P95" s="33">
        <v>0</v>
      </c>
      <c r="Q95" s="38">
        <v>0</v>
      </c>
      <c r="R95" s="36">
        <v>0</v>
      </c>
      <c r="S95" s="36">
        <v>0</v>
      </c>
      <c r="T95" s="36">
        <v>0</v>
      </c>
      <c r="U95" s="36">
        <v>0</v>
      </c>
      <c r="V95" s="38">
        <v>0</v>
      </c>
      <c r="W95" s="36">
        <v>0</v>
      </c>
      <c r="X95" s="36">
        <v>0</v>
      </c>
      <c r="Y95" s="36">
        <v>0</v>
      </c>
      <c r="Z95" s="36">
        <v>0</v>
      </c>
      <c r="AA95" s="40">
        <f t="shared" si="2"/>
        <v>-10</v>
      </c>
    </row>
    <row r="96" spans="1:29" x14ac:dyDescent="0.25">
      <c r="A96" s="41" t="s">
        <v>197</v>
      </c>
      <c r="B96" s="35">
        <v>0</v>
      </c>
      <c r="C96" s="35">
        <v>0</v>
      </c>
      <c r="D96" s="35">
        <v>0</v>
      </c>
      <c r="E96" s="35">
        <v>0</v>
      </c>
      <c r="F96" s="35">
        <v>0</v>
      </c>
      <c r="G96" s="37">
        <v>10</v>
      </c>
      <c r="H96" s="35">
        <v>0</v>
      </c>
      <c r="I96" s="35">
        <v>0</v>
      </c>
      <c r="J96" s="35">
        <v>0</v>
      </c>
      <c r="K96" s="34">
        <v>0</v>
      </c>
      <c r="L96" s="35">
        <v>0</v>
      </c>
      <c r="M96" s="35">
        <v>0</v>
      </c>
      <c r="N96" s="35">
        <v>0</v>
      </c>
      <c r="O96" s="35">
        <v>0</v>
      </c>
      <c r="P96" s="34">
        <v>0</v>
      </c>
      <c r="Q96" s="37">
        <v>0</v>
      </c>
      <c r="R96" s="35">
        <v>0</v>
      </c>
      <c r="S96" s="35">
        <v>0</v>
      </c>
      <c r="T96" s="35">
        <v>0</v>
      </c>
      <c r="U96" s="35">
        <v>0</v>
      </c>
      <c r="V96" s="37">
        <v>0</v>
      </c>
      <c r="W96" s="35">
        <v>0</v>
      </c>
      <c r="X96" s="35">
        <v>0</v>
      </c>
      <c r="Y96" s="35">
        <v>0</v>
      </c>
      <c r="Z96" s="35">
        <v>0</v>
      </c>
      <c r="AA96" s="41">
        <f t="shared" si="2"/>
        <v>10</v>
      </c>
    </row>
    <row r="97" spans="1:28" x14ac:dyDescent="0.25">
      <c r="A97" s="41" t="s">
        <v>198</v>
      </c>
      <c r="B97" s="35">
        <v>0</v>
      </c>
      <c r="C97" s="35">
        <v>0</v>
      </c>
      <c r="D97" s="35">
        <v>0</v>
      </c>
      <c r="E97" s="35">
        <v>0</v>
      </c>
      <c r="F97" s="35">
        <v>0</v>
      </c>
      <c r="G97" s="37">
        <v>0</v>
      </c>
      <c r="H97" s="35">
        <v>-10</v>
      </c>
      <c r="I97" s="35">
        <v>0</v>
      </c>
      <c r="J97" s="35">
        <v>0</v>
      </c>
      <c r="K97" s="34">
        <v>0</v>
      </c>
      <c r="L97" s="35">
        <v>0</v>
      </c>
      <c r="M97" s="35">
        <v>0</v>
      </c>
      <c r="N97" s="35">
        <v>0</v>
      </c>
      <c r="O97" s="35">
        <v>0</v>
      </c>
      <c r="P97" s="34">
        <v>0</v>
      </c>
      <c r="Q97" s="37">
        <v>0</v>
      </c>
      <c r="R97" s="35">
        <v>0</v>
      </c>
      <c r="S97" s="35">
        <v>0</v>
      </c>
      <c r="T97" s="35">
        <v>0</v>
      </c>
      <c r="U97" s="35">
        <v>0</v>
      </c>
      <c r="V97" s="37">
        <v>0</v>
      </c>
      <c r="W97" s="35">
        <v>0</v>
      </c>
      <c r="X97" s="35">
        <v>0</v>
      </c>
      <c r="Y97" s="35">
        <v>0</v>
      </c>
      <c r="Z97" s="35">
        <v>0</v>
      </c>
      <c r="AA97" s="41">
        <f t="shared" si="2"/>
        <v>-10</v>
      </c>
    </row>
    <row r="98" spans="1:28" x14ac:dyDescent="0.25">
      <c r="A98" s="41" t="s">
        <v>199</v>
      </c>
      <c r="B98" s="35">
        <v>0</v>
      </c>
      <c r="C98" s="35">
        <v>0</v>
      </c>
      <c r="D98" s="35">
        <v>0</v>
      </c>
      <c r="E98" s="35">
        <v>0</v>
      </c>
      <c r="F98" s="35">
        <v>0</v>
      </c>
      <c r="G98" s="37">
        <v>0</v>
      </c>
      <c r="H98" s="35">
        <v>10</v>
      </c>
      <c r="I98" s="35">
        <v>0</v>
      </c>
      <c r="J98" s="35">
        <v>0</v>
      </c>
      <c r="K98" s="34">
        <v>0</v>
      </c>
      <c r="L98" s="35">
        <v>0</v>
      </c>
      <c r="M98" s="35">
        <v>0</v>
      </c>
      <c r="N98" s="35">
        <v>0</v>
      </c>
      <c r="O98" s="35">
        <v>0</v>
      </c>
      <c r="P98" s="34">
        <v>0</v>
      </c>
      <c r="Q98" s="37">
        <v>0</v>
      </c>
      <c r="R98" s="35">
        <v>0</v>
      </c>
      <c r="S98" s="35">
        <v>0</v>
      </c>
      <c r="T98" s="35">
        <v>0</v>
      </c>
      <c r="U98" s="35">
        <v>0</v>
      </c>
      <c r="V98" s="37">
        <v>0</v>
      </c>
      <c r="W98" s="35">
        <v>0</v>
      </c>
      <c r="X98" s="35">
        <v>0</v>
      </c>
      <c r="Y98" s="35">
        <v>0</v>
      </c>
      <c r="Z98" s="35">
        <v>0</v>
      </c>
      <c r="AA98" s="41">
        <f t="shared" si="2"/>
        <v>10</v>
      </c>
    </row>
    <row r="99" spans="1:28" x14ac:dyDescent="0.25">
      <c r="A99" s="41" t="s">
        <v>150</v>
      </c>
      <c r="B99" s="35">
        <v>0</v>
      </c>
      <c r="C99" s="35">
        <v>0</v>
      </c>
      <c r="D99" s="35">
        <v>0</v>
      </c>
      <c r="E99" s="35">
        <v>0</v>
      </c>
      <c r="F99" s="35">
        <v>0</v>
      </c>
      <c r="G99" s="37">
        <v>0</v>
      </c>
      <c r="H99" s="35">
        <v>0</v>
      </c>
      <c r="I99" s="35">
        <v>-10</v>
      </c>
      <c r="J99" s="35">
        <v>0</v>
      </c>
      <c r="K99" s="34">
        <v>0</v>
      </c>
      <c r="L99" s="35">
        <v>0</v>
      </c>
      <c r="M99" s="35">
        <v>0</v>
      </c>
      <c r="N99" s="35">
        <v>0</v>
      </c>
      <c r="O99" s="35">
        <v>0</v>
      </c>
      <c r="P99" s="34">
        <v>0</v>
      </c>
      <c r="Q99" s="37">
        <v>0</v>
      </c>
      <c r="R99" s="35">
        <v>0</v>
      </c>
      <c r="S99" s="35">
        <v>0</v>
      </c>
      <c r="T99" s="35">
        <v>0</v>
      </c>
      <c r="U99" s="35">
        <v>0</v>
      </c>
      <c r="V99" s="37">
        <v>0</v>
      </c>
      <c r="W99" s="35">
        <v>0</v>
      </c>
      <c r="X99" s="35">
        <v>0</v>
      </c>
      <c r="Y99" s="35">
        <v>0</v>
      </c>
      <c r="Z99" s="35">
        <v>0</v>
      </c>
      <c r="AA99" s="41">
        <f t="shared" si="2"/>
        <v>-10</v>
      </c>
    </row>
    <row r="100" spans="1:28" x14ac:dyDescent="0.25">
      <c r="A100" s="41" t="s">
        <v>149</v>
      </c>
      <c r="B100" s="35">
        <v>0</v>
      </c>
      <c r="C100" s="35">
        <v>0</v>
      </c>
      <c r="D100" s="35">
        <v>0</v>
      </c>
      <c r="E100" s="35">
        <v>0</v>
      </c>
      <c r="F100" s="35">
        <v>0</v>
      </c>
      <c r="G100" s="37">
        <v>0</v>
      </c>
      <c r="H100" s="35">
        <v>0</v>
      </c>
      <c r="I100" s="35">
        <v>10</v>
      </c>
      <c r="J100" s="35">
        <v>0</v>
      </c>
      <c r="K100" s="34">
        <v>0</v>
      </c>
      <c r="L100" s="35">
        <v>0</v>
      </c>
      <c r="M100" s="35">
        <v>0</v>
      </c>
      <c r="N100" s="35">
        <v>0</v>
      </c>
      <c r="O100" s="35">
        <v>0</v>
      </c>
      <c r="P100" s="34">
        <v>0</v>
      </c>
      <c r="Q100" s="37">
        <v>0</v>
      </c>
      <c r="R100" s="35">
        <v>0</v>
      </c>
      <c r="S100" s="35">
        <v>0</v>
      </c>
      <c r="T100" s="35">
        <v>0</v>
      </c>
      <c r="U100" s="35">
        <v>0</v>
      </c>
      <c r="V100" s="37">
        <v>0</v>
      </c>
      <c r="W100" s="35">
        <v>0</v>
      </c>
      <c r="X100" s="35">
        <v>0</v>
      </c>
      <c r="Y100" s="35">
        <v>0</v>
      </c>
      <c r="Z100" s="35">
        <v>0</v>
      </c>
      <c r="AA100" s="41">
        <f t="shared" si="2"/>
        <v>10</v>
      </c>
    </row>
    <row r="101" spans="1:28" x14ac:dyDescent="0.25">
      <c r="A101" s="41" t="s">
        <v>201</v>
      </c>
      <c r="B101" s="35">
        <v>0</v>
      </c>
      <c r="C101" s="35">
        <v>0</v>
      </c>
      <c r="D101" s="35">
        <v>0</v>
      </c>
      <c r="E101" s="35">
        <v>0</v>
      </c>
      <c r="F101" s="35">
        <v>0</v>
      </c>
      <c r="G101" s="37">
        <v>0</v>
      </c>
      <c r="H101" s="35">
        <v>0</v>
      </c>
      <c r="I101" s="35">
        <v>0</v>
      </c>
      <c r="J101" s="35">
        <v>-10</v>
      </c>
      <c r="K101" s="34">
        <v>0</v>
      </c>
      <c r="L101" s="35">
        <v>0</v>
      </c>
      <c r="M101" s="35">
        <v>0</v>
      </c>
      <c r="N101" s="35">
        <v>0</v>
      </c>
      <c r="O101" s="35">
        <v>0</v>
      </c>
      <c r="P101" s="34">
        <v>0</v>
      </c>
      <c r="Q101" s="37">
        <v>0</v>
      </c>
      <c r="R101" s="35">
        <v>0</v>
      </c>
      <c r="S101" s="35">
        <v>0</v>
      </c>
      <c r="T101" s="35">
        <v>0</v>
      </c>
      <c r="U101" s="35">
        <v>0</v>
      </c>
      <c r="V101" s="37">
        <v>0</v>
      </c>
      <c r="W101" s="35">
        <v>0</v>
      </c>
      <c r="X101" s="35">
        <v>0</v>
      </c>
      <c r="Y101" s="35">
        <v>0</v>
      </c>
      <c r="Z101" s="35">
        <v>0</v>
      </c>
      <c r="AA101" s="41">
        <f t="shared" si="2"/>
        <v>-10</v>
      </c>
    </row>
    <row r="102" spans="1:28" x14ac:dyDescent="0.25">
      <c r="A102" s="41" t="s">
        <v>200</v>
      </c>
      <c r="B102" s="35">
        <v>0</v>
      </c>
      <c r="C102" s="35">
        <v>0</v>
      </c>
      <c r="D102" s="35">
        <v>0</v>
      </c>
      <c r="E102" s="35">
        <v>0</v>
      </c>
      <c r="F102" s="35">
        <v>0</v>
      </c>
      <c r="G102" s="37">
        <v>0</v>
      </c>
      <c r="H102" s="35">
        <v>0</v>
      </c>
      <c r="I102" s="35">
        <v>0</v>
      </c>
      <c r="J102" s="35">
        <v>10</v>
      </c>
      <c r="K102" s="34">
        <v>0</v>
      </c>
      <c r="L102" s="35">
        <v>0</v>
      </c>
      <c r="M102" s="35">
        <v>0</v>
      </c>
      <c r="N102" s="35">
        <v>0</v>
      </c>
      <c r="O102" s="35">
        <v>0</v>
      </c>
      <c r="P102" s="34">
        <v>0</v>
      </c>
      <c r="Q102" s="37">
        <v>0</v>
      </c>
      <c r="R102" s="35">
        <v>0</v>
      </c>
      <c r="S102" s="35">
        <v>0</v>
      </c>
      <c r="T102" s="35">
        <v>0</v>
      </c>
      <c r="U102" s="35">
        <v>0</v>
      </c>
      <c r="V102" s="37">
        <v>0</v>
      </c>
      <c r="W102" s="35">
        <v>0</v>
      </c>
      <c r="X102" s="35">
        <v>0</v>
      </c>
      <c r="Y102" s="35">
        <v>0</v>
      </c>
      <c r="Z102" s="35">
        <v>0</v>
      </c>
      <c r="AA102" s="41">
        <f t="shared" si="2"/>
        <v>10</v>
      </c>
    </row>
    <row r="103" spans="1:28" x14ac:dyDescent="0.25">
      <c r="A103" s="41" t="s">
        <v>152</v>
      </c>
      <c r="B103" s="35">
        <v>0</v>
      </c>
      <c r="C103" s="35">
        <v>0</v>
      </c>
      <c r="D103" s="35">
        <v>0</v>
      </c>
      <c r="E103" s="35">
        <v>0</v>
      </c>
      <c r="F103" s="35">
        <v>0</v>
      </c>
      <c r="G103" s="37">
        <v>0</v>
      </c>
      <c r="H103" s="35">
        <v>0</v>
      </c>
      <c r="I103" s="35">
        <v>0</v>
      </c>
      <c r="J103" s="35">
        <v>0</v>
      </c>
      <c r="K103" s="34">
        <v>-10</v>
      </c>
      <c r="L103" s="35">
        <v>0</v>
      </c>
      <c r="M103" s="35">
        <v>0</v>
      </c>
      <c r="N103" s="35">
        <v>0</v>
      </c>
      <c r="O103" s="35">
        <v>0</v>
      </c>
      <c r="P103" s="34">
        <v>0</v>
      </c>
      <c r="Q103" s="37">
        <v>0</v>
      </c>
      <c r="R103" s="35">
        <v>0</v>
      </c>
      <c r="S103" s="35">
        <v>0</v>
      </c>
      <c r="T103" s="35">
        <v>0</v>
      </c>
      <c r="U103" s="35">
        <v>0</v>
      </c>
      <c r="V103" s="37">
        <v>0</v>
      </c>
      <c r="W103" s="35">
        <v>0</v>
      </c>
      <c r="X103" s="35">
        <v>0</v>
      </c>
      <c r="Y103" s="35">
        <v>0</v>
      </c>
      <c r="Z103" s="35">
        <v>0</v>
      </c>
      <c r="AA103" s="41">
        <f t="shared" si="2"/>
        <v>-10</v>
      </c>
    </row>
    <row r="104" spans="1:28" x14ac:dyDescent="0.25">
      <c r="A104" s="41" t="s">
        <v>151</v>
      </c>
      <c r="B104" s="35">
        <v>0</v>
      </c>
      <c r="C104" s="35">
        <v>0</v>
      </c>
      <c r="D104" s="35">
        <v>0</v>
      </c>
      <c r="E104" s="35">
        <v>0</v>
      </c>
      <c r="F104" s="35">
        <v>0</v>
      </c>
      <c r="G104" s="37">
        <v>0</v>
      </c>
      <c r="H104" s="35">
        <v>0</v>
      </c>
      <c r="I104" s="35">
        <v>0</v>
      </c>
      <c r="J104" s="35">
        <v>0</v>
      </c>
      <c r="K104" s="34">
        <v>10</v>
      </c>
      <c r="L104" s="35">
        <v>0</v>
      </c>
      <c r="M104" s="35">
        <v>0</v>
      </c>
      <c r="N104" s="35">
        <v>0</v>
      </c>
      <c r="O104" s="35">
        <v>0</v>
      </c>
      <c r="P104" s="34">
        <v>0</v>
      </c>
      <c r="Q104" s="37">
        <v>0</v>
      </c>
      <c r="R104" s="35">
        <v>0</v>
      </c>
      <c r="S104" s="35">
        <v>0</v>
      </c>
      <c r="T104" s="35">
        <v>0</v>
      </c>
      <c r="U104" s="35">
        <v>0</v>
      </c>
      <c r="V104" s="37">
        <v>0</v>
      </c>
      <c r="W104" s="35">
        <v>0</v>
      </c>
      <c r="X104" s="35">
        <v>0</v>
      </c>
      <c r="Y104" s="35">
        <v>0</v>
      </c>
      <c r="Z104" s="35">
        <v>0</v>
      </c>
      <c r="AA104" s="41">
        <f t="shared" si="2"/>
        <v>10</v>
      </c>
    </row>
    <row r="105" spans="1:28" x14ac:dyDescent="0.25">
      <c r="A105" s="41" t="s">
        <v>218</v>
      </c>
      <c r="B105" s="35">
        <v>0</v>
      </c>
      <c r="C105" s="35">
        <v>0</v>
      </c>
      <c r="D105" s="35">
        <v>0</v>
      </c>
      <c r="E105" s="35">
        <v>0</v>
      </c>
      <c r="F105" s="35">
        <v>0</v>
      </c>
      <c r="G105" s="37">
        <v>0</v>
      </c>
      <c r="H105" s="35">
        <v>0</v>
      </c>
      <c r="I105" s="35">
        <v>0</v>
      </c>
      <c r="J105" s="35">
        <v>0</v>
      </c>
      <c r="K105" s="34">
        <v>0</v>
      </c>
      <c r="L105" s="35">
        <v>0</v>
      </c>
      <c r="M105" s="35">
        <v>0</v>
      </c>
      <c r="N105" s="35">
        <v>0</v>
      </c>
      <c r="O105" s="35">
        <v>0</v>
      </c>
      <c r="P105" s="34">
        <v>0</v>
      </c>
      <c r="Q105" s="37">
        <v>-10</v>
      </c>
      <c r="R105" s="35">
        <v>0</v>
      </c>
      <c r="S105" s="35">
        <v>0</v>
      </c>
      <c r="T105" s="35">
        <v>0</v>
      </c>
      <c r="U105" s="35">
        <v>0</v>
      </c>
      <c r="V105" s="37">
        <v>0</v>
      </c>
      <c r="W105" s="35">
        <v>0</v>
      </c>
      <c r="X105" s="35">
        <v>0</v>
      </c>
      <c r="Y105" s="35">
        <v>0</v>
      </c>
      <c r="Z105" s="35">
        <v>0</v>
      </c>
      <c r="AA105" s="41">
        <f t="shared" si="2"/>
        <v>-10</v>
      </c>
    </row>
    <row r="106" spans="1:28" x14ac:dyDescent="0.25">
      <c r="A106" s="41" t="s">
        <v>219</v>
      </c>
      <c r="B106" s="35">
        <v>0</v>
      </c>
      <c r="C106" s="35">
        <v>0</v>
      </c>
      <c r="D106" s="35">
        <v>0</v>
      </c>
      <c r="E106" s="35">
        <v>0</v>
      </c>
      <c r="F106" s="35">
        <v>0</v>
      </c>
      <c r="G106" s="37">
        <v>0</v>
      </c>
      <c r="H106" s="35">
        <v>0</v>
      </c>
      <c r="I106" s="35">
        <v>0</v>
      </c>
      <c r="J106" s="35">
        <v>0</v>
      </c>
      <c r="K106" s="34">
        <v>0</v>
      </c>
      <c r="L106" s="35">
        <v>0</v>
      </c>
      <c r="M106" s="35">
        <v>0</v>
      </c>
      <c r="N106" s="35">
        <v>0</v>
      </c>
      <c r="O106" s="35">
        <v>0</v>
      </c>
      <c r="P106" s="34">
        <v>0</v>
      </c>
      <c r="Q106" s="37">
        <v>10</v>
      </c>
      <c r="R106" s="35">
        <v>0</v>
      </c>
      <c r="S106" s="35">
        <v>0</v>
      </c>
      <c r="T106" s="35">
        <v>0</v>
      </c>
      <c r="U106" s="35">
        <v>0</v>
      </c>
      <c r="V106" s="37">
        <v>0</v>
      </c>
      <c r="W106" s="35">
        <v>0</v>
      </c>
      <c r="X106" s="35">
        <v>0</v>
      </c>
      <c r="Y106" s="35">
        <v>0</v>
      </c>
      <c r="Z106" s="35">
        <v>0</v>
      </c>
      <c r="AA106" s="41">
        <f t="shared" si="2"/>
        <v>10</v>
      </c>
    </row>
    <row r="107" spans="1:28" x14ac:dyDescent="0.25">
      <c r="A107" s="41" t="s">
        <v>154</v>
      </c>
      <c r="B107" s="35">
        <v>0</v>
      </c>
      <c r="C107" s="35">
        <v>0</v>
      </c>
      <c r="D107" s="35">
        <v>0</v>
      </c>
      <c r="E107" s="35">
        <v>0</v>
      </c>
      <c r="F107" s="35">
        <v>0</v>
      </c>
      <c r="G107" s="37">
        <v>0</v>
      </c>
      <c r="H107" s="35">
        <v>0</v>
      </c>
      <c r="I107" s="35">
        <v>0</v>
      </c>
      <c r="J107" s="35">
        <v>0</v>
      </c>
      <c r="K107" s="34">
        <v>0</v>
      </c>
      <c r="L107" s="35">
        <v>0</v>
      </c>
      <c r="M107" s="35">
        <v>0</v>
      </c>
      <c r="N107" s="35">
        <v>0</v>
      </c>
      <c r="O107" s="35">
        <v>0</v>
      </c>
      <c r="P107" s="34">
        <v>0</v>
      </c>
      <c r="Q107" s="37">
        <v>0</v>
      </c>
      <c r="R107" s="35">
        <v>-10</v>
      </c>
      <c r="S107" s="35">
        <v>0</v>
      </c>
      <c r="T107" s="35">
        <v>0</v>
      </c>
      <c r="U107" s="35">
        <v>0</v>
      </c>
      <c r="V107" s="37">
        <v>0</v>
      </c>
      <c r="W107" s="35">
        <v>0</v>
      </c>
      <c r="X107" s="35">
        <v>0</v>
      </c>
      <c r="Y107" s="35">
        <v>0</v>
      </c>
      <c r="Z107" s="35">
        <v>0</v>
      </c>
      <c r="AA107" s="41">
        <f t="shared" si="2"/>
        <v>-10</v>
      </c>
    </row>
    <row r="108" spans="1:28" x14ac:dyDescent="0.25">
      <c r="A108" s="41" t="s">
        <v>153</v>
      </c>
      <c r="B108" s="35">
        <v>0</v>
      </c>
      <c r="C108" s="35">
        <v>0</v>
      </c>
      <c r="D108" s="35">
        <v>0</v>
      </c>
      <c r="E108" s="35">
        <v>0</v>
      </c>
      <c r="F108" s="35">
        <v>0</v>
      </c>
      <c r="G108" s="37">
        <v>0</v>
      </c>
      <c r="H108" s="35">
        <v>0</v>
      </c>
      <c r="I108" s="35">
        <v>0</v>
      </c>
      <c r="J108" s="35">
        <v>0</v>
      </c>
      <c r="K108" s="34">
        <v>0</v>
      </c>
      <c r="L108" s="35">
        <v>0</v>
      </c>
      <c r="M108" s="35">
        <v>0</v>
      </c>
      <c r="N108" s="35">
        <v>0</v>
      </c>
      <c r="O108" s="35">
        <v>0</v>
      </c>
      <c r="P108" s="34">
        <v>0</v>
      </c>
      <c r="Q108" s="37">
        <v>0</v>
      </c>
      <c r="R108" s="35">
        <v>10</v>
      </c>
      <c r="S108" s="35">
        <v>0</v>
      </c>
      <c r="T108" s="35">
        <v>0</v>
      </c>
      <c r="U108" s="35">
        <v>0</v>
      </c>
      <c r="V108" s="37">
        <v>0</v>
      </c>
      <c r="W108" s="35">
        <v>0</v>
      </c>
      <c r="X108" s="35">
        <v>0</v>
      </c>
      <c r="Y108" s="35">
        <v>0</v>
      </c>
      <c r="Z108" s="35">
        <v>0</v>
      </c>
      <c r="AA108" s="41">
        <f t="shared" si="2"/>
        <v>10</v>
      </c>
    </row>
    <row r="109" spans="1:28" x14ac:dyDescent="0.25">
      <c r="A109" s="41" t="s">
        <v>156</v>
      </c>
      <c r="B109" s="35">
        <v>0</v>
      </c>
      <c r="C109" s="35">
        <v>0</v>
      </c>
      <c r="D109" s="35">
        <v>0</v>
      </c>
      <c r="E109" s="35">
        <v>0</v>
      </c>
      <c r="F109" s="35">
        <v>0</v>
      </c>
      <c r="G109" s="37">
        <v>0</v>
      </c>
      <c r="H109" s="35">
        <v>0</v>
      </c>
      <c r="I109" s="35">
        <v>0</v>
      </c>
      <c r="J109" s="35">
        <v>0</v>
      </c>
      <c r="K109" s="34">
        <v>0</v>
      </c>
      <c r="L109" s="35">
        <v>0</v>
      </c>
      <c r="M109" s="35">
        <v>0</v>
      </c>
      <c r="N109" s="35">
        <v>0</v>
      </c>
      <c r="O109" s="35">
        <v>0</v>
      </c>
      <c r="P109" s="34">
        <v>0</v>
      </c>
      <c r="Q109" s="37">
        <v>0</v>
      </c>
      <c r="R109" s="35">
        <v>0</v>
      </c>
      <c r="S109" s="35">
        <v>-10</v>
      </c>
      <c r="T109" s="35">
        <v>0</v>
      </c>
      <c r="U109" s="35">
        <v>0</v>
      </c>
      <c r="V109" s="37">
        <v>0</v>
      </c>
      <c r="W109" s="35">
        <v>0</v>
      </c>
      <c r="X109" s="35">
        <v>0</v>
      </c>
      <c r="Y109" s="35">
        <v>0</v>
      </c>
      <c r="Z109" s="35">
        <v>0</v>
      </c>
      <c r="AA109" s="41">
        <f t="shared" si="2"/>
        <v>-10</v>
      </c>
    </row>
    <row r="110" spans="1:28" x14ac:dyDescent="0.25">
      <c r="A110" s="42" t="s">
        <v>155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2">
        <v>0</v>
      </c>
      <c r="H110" s="3">
        <v>0</v>
      </c>
      <c r="I110" s="3">
        <v>0</v>
      </c>
      <c r="J110" s="3">
        <v>0</v>
      </c>
      <c r="K110" s="4">
        <v>0</v>
      </c>
      <c r="L110" s="3">
        <v>0</v>
      </c>
      <c r="M110" s="3">
        <v>0</v>
      </c>
      <c r="N110" s="3">
        <v>0</v>
      </c>
      <c r="O110" s="3">
        <v>0</v>
      </c>
      <c r="P110" s="4">
        <v>0</v>
      </c>
      <c r="Q110" s="2">
        <v>0</v>
      </c>
      <c r="R110" s="3">
        <v>0</v>
      </c>
      <c r="S110" s="3">
        <v>10</v>
      </c>
      <c r="T110" s="3">
        <v>0</v>
      </c>
      <c r="U110" s="3">
        <v>0</v>
      </c>
      <c r="V110" s="2">
        <v>0</v>
      </c>
      <c r="W110" s="3">
        <v>0</v>
      </c>
      <c r="X110" s="3">
        <v>0</v>
      </c>
      <c r="Y110" s="3">
        <v>0</v>
      </c>
      <c r="Z110" s="3">
        <v>0</v>
      </c>
      <c r="AA110" s="42">
        <f>SUM(B110:Z110)</f>
        <v>10</v>
      </c>
    </row>
    <row r="111" spans="1:28" x14ac:dyDescent="0.25">
      <c r="A111" s="81" t="s">
        <v>165</v>
      </c>
      <c r="B111" s="81">
        <v>0</v>
      </c>
      <c r="C111" s="82">
        <v>0</v>
      </c>
      <c r="D111" s="82">
        <v>0</v>
      </c>
      <c r="E111" s="82">
        <v>0</v>
      </c>
      <c r="F111" s="82">
        <v>0</v>
      </c>
      <c r="G111" s="81">
        <v>0</v>
      </c>
      <c r="H111" s="82">
        <v>0</v>
      </c>
      <c r="I111" s="82">
        <v>0</v>
      </c>
      <c r="J111" s="82">
        <v>0</v>
      </c>
      <c r="K111" s="83">
        <v>0</v>
      </c>
      <c r="L111" s="82">
        <v>0</v>
      </c>
      <c r="M111" s="82">
        <v>0</v>
      </c>
      <c r="N111" s="82">
        <v>0</v>
      </c>
      <c r="O111" s="82">
        <v>0</v>
      </c>
      <c r="P111" s="82">
        <v>0</v>
      </c>
      <c r="Q111" s="81">
        <v>0</v>
      </c>
      <c r="R111" s="82">
        <v>0</v>
      </c>
      <c r="S111" s="82">
        <v>0</v>
      </c>
      <c r="T111" s="82">
        <v>0</v>
      </c>
      <c r="U111" s="82">
        <v>0</v>
      </c>
      <c r="V111" s="81">
        <v>0</v>
      </c>
      <c r="W111" s="82">
        <v>0</v>
      </c>
      <c r="X111" s="82">
        <v>0</v>
      </c>
      <c r="Y111" s="82">
        <v>0</v>
      </c>
      <c r="Z111" s="82">
        <v>0</v>
      </c>
      <c r="AA111" s="42">
        <f>SUM(B111:Z111)</f>
        <v>0</v>
      </c>
    </row>
    <row r="112" spans="1:28" x14ac:dyDescent="0.25">
      <c r="A112" s="37" t="s">
        <v>164</v>
      </c>
      <c r="B112" s="37">
        <v>0</v>
      </c>
      <c r="C112" s="35">
        <v>0</v>
      </c>
      <c r="D112" s="35">
        <v>0</v>
      </c>
      <c r="E112" s="35">
        <v>0</v>
      </c>
      <c r="F112" s="35">
        <v>10</v>
      </c>
      <c r="G112" s="37">
        <v>5</v>
      </c>
      <c r="H112" s="35">
        <v>5</v>
      </c>
      <c r="I112" s="35">
        <v>5</v>
      </c>
      <c r="J112" s="35">
        <v>5</v>
      </c>
      <c r="K112" s="35">
        <v>0</v>
      </c>
      <c r="L112" s="37">
        <v>0</v>
      </c>
      <c r="M112" s="35">
        <v>0</v>
      </c>
      <c r="N112" s="35">
        <v>0</v>
      </c>
      <c r="O112" s="35">
        <v>0</v>
      </c>
      <c r="P112" s="35">
        <v>0</v>
      </c>
      <c r="Q112" s="37">
        <v>0</v>
      </c>
      <c r="R112" s="35">
        <v>0</v>
      </c>
      <c r="S112" s="35">
        <v>0</v>
      </c>
      <c r="T112" s="35">
        <v>0</v>
      </c>
      <c r="U112" s="35">
        <v>0</v>
      </c>
      <c r="V112" s="37">
        <v>0</v>
      </c>
      <c r="W112" s="35">
        <v>0</v>
      </c>
      <c r="X112" s="35">
        <v>0</v>
      </c>
      <c r="Y112" s="35">
        <v>0</v>
      </c>
      <c r="Z112" s="35">
        <v>0</v>
      </c>
      <c r="AA112" s="41">
        <f t="shared" ref="AA112:AA113" si="3">SUM(B112:Z112)</f>
        <v>30</v>
      </c>
      <c r="AB112" s="78" t="s">
        <v>231</v>
      </c>
    </row>
    <row r="113" spans="1:28" x14ac:dyDescent="0.25">
      <c r="A113" s="37" t="s">
        <v>220</v>
      </c>
      <c r="B113" s="37">
        <v>0</v>
      </c>
      <c r="C113" s="35">
        <v>0</v>
      </c>
      <c r="D113" s="35">
        <v>0</v>
      </c>
      <c r="E113" s="35">
        <v>0</v>
      </c>
      <c r="F113" s="35">
        <v>0</v>
      </c>
      <c r="G113" s="37">
        <v>0</v>
      </c>
      <c r="H113" s="35">
        <v>0</v>
      </c>
      <c r="I113" s="35">
        <v>0</v>
      </c>
      <c r="J113" s="35">
        <v>0</v>
      </c>
      <c r="K113" s="35">
        <v>0</v>
      </c>
      <c r="L113" s="37">
        <v>0</v>
      </c>
      <c r="M113" s="35">
        <v>0</v>
      </c>
      <c r="N113" s="35">
        <v>0</v>
      </c>
      <c r="O113" s="35">
        <v>0</v>
      </c>
      <c r="P113" s="35">
        <v>0</v>
      </c>
      <c r="Q113" s="37">
        <v>0</v>
      </c>
      <c r="R113" s="35">
        <v>0</v>
      </c>
      <c r="S113" s="35">
        <v>0</v>
      </c>
      <c r="T113" s="35">
        <v>0</v>
      </c>
      <c r="U113" s="35">
        <v>0</v>
      </c>
      <c r="V113" s="37">
        <v>0</v>
      </c>
      <c r="W113" s="35">
        <v>0</v>
      </c>
      <c r="X113" s="35">
        <v>0</v>
      </c>
      <c r="Y113" s="35">
        <v>20</v>
      </c>
      <c r="Z113" s="35">
        <v>-10</v>
      </c>
      <c r="AA113" s="41">
        <f t="shared" si="3"/>
        <v>10</v>
      </c>
      <c r="AB113" s="78" t="s">
        <v>221</v>
      </c>
    </row>
    <row r="114" spans="1:28" x14ac:dyDescent="0.25">
      <c r="A114" s="37" t="s">
        <v>222</v>
      </c>
      <c r="B114" s="37">
        <v>4</v>
      </c>
      <c r="C114" s="35">
        <v>4</v>
      </c>
      <c r="D114" s="35">
        <v>4</v>
      </c>
      <c r="E114" s="35">
        <v>4</v>
      </c>
      <c r="F114" s="35">
        <v>4</v>
      </c>
      <c r="G114" s="37">
        <v>4</v>
      </c>
      <c r="H114" s="35">
        <v>4</v>
      </c>
      <c r="I114" s="35">
        <v>4</v>
      </c>
      <c r="J114" s="35">
        <v>4</v>
      </c>
      <c r="K114" s="35">
        <v>4</v>
      </c>
      <c r="L114" s="37">
        <v>4</v>
      </c>
      <c r="M114" s="35">
        <v>4</v>
      </c>
      <c r="N114" s="35">
        <v>4</v>
      </c>
      <c r="O114" s="35">
        <v>4</v>
      </c>
      <c r="P114" s="35">
        <v>4</v>
      </c>
      <c r="Q114" s="37">
        <v>4</v>
      </c>
      <c r="R114" s="35">
        <v>4</v>
      </c>
      <c r="S114" s="35">
        <v>4</v>
      </c>
      <c r="T114" s="35">
        <v>4</v>
      </c>
      <c r="U114" s="35">
        <v>4</v>
      </c>
      <c r="V114" s="37">
        <v>0</v>
      </c>
      <c r="W114" s="35">
        <v>0</v>
      </c>
      <c r="X114" s="35">
        <v>0</v>
      </c>
      <c r="Y114" s="35">
        <v>0</v>
      </c>
      <c r="Z114" s="35">
        <v>0</v>
      </c>
      <c r="AA114" s="41">
        <f t="shared" ref="AA114" si="4">SUM(B114:Z114)</f>
        <v>80</v>
      </c>
      <c r="AB114" s="84" t="s">
        <v>230</v>
      </c>
    </row>
    <row r="115" spans="1:28" x14ac:dyDescent="0.25">
      <c r="A115" s="37" t="s">
        <v>223</v>
      </c>
      <c r="B115" s="37">
        <v>-5</v>
      </c>
      <c r="C115" s="35">
        <v>-5</v>
      </c>
      <c r="D115" s="35">
        <v>-5</v>
      </c>
      <c r="E115" s="35">
        <v>-5</v>
      </c>
      <c r="F115" s="35">
        <v>-5</v>
      </c>
      <c r="G115" s="37">
        <v>-5</v>
      </c>
      <c r="H115" s="35">
        <v>-5</v>
      </c>
      <c r="I115" s="35">
        <v>-5</v>
      </c>
      <c r="J115" s="35">
        <v>-5</v>
      </c>
      <c r="K115" s="35">
        <v>-5</v>
      </c>
      <c r="L115" s="37">
        <v>-5</v>
      </c>
      <c r="M115" s="35">
        <v>-5</v>
      </c>
      <c r="N115" s="35">
        <v>-5</v>
      </c>
      <c r="O115" s="35">
        <v>-5</v>
      </c>
      <c r="P115" s="35">
        <v>-5</v>
      </c>
      <c r="Q115" s="37">
        <v>-5</v>
      </c>
      <c r="R115" s="35">
        <v>-5</v>
      </c>
      <c r="S115" s="35">
        <v>-5</v>
      </c>
      <c r="T115" s="35">
        <v>-5</v>
      </c>
      <c r="U115" s="35">
        <v>-5</v>
      </c>
      <c r="V115" s="37">
        <v>0</v>
      </c>
      <c r="W115" s="35">
        <v>0</v>
      </c>
      <c r="X115" s="35">
        <v>0</v>
      </c>
      <c r="Y115" s="35">
        <v>0</v>
      </c>
      <c r="Z115" s="35">
        <v>0</v>
      </c>
      <c r="AA115" s="41">
        <f t="shared" ref="AA115" si="5">SUM(B115:Z115)</f>
        <v>-100</v>
      </c>
      <c r="AB115" s="84" t="s">
        <v>224</v>
      </c>
    </row>
    <row r="116" spans="1:28" x14ac:dyDescent="0.25">
      <c r="A116" s="37" t="s">
        <v>225</v>
      </c>
      <c r="B116" s="37">
        <v>0</v>
      </c>
      <c r="C116" s="35">
        <v>0</v>
      </c>
      <c r="D116" s="35">
        <v>0</v>
      </c>
      <c r="E116" s="35">
        <v>0</v>
      </c>
      <c r="F116" s="35">
        <v>0</v>
      </c>
      <c r="G116" s="37">
        <v>0</v>
      </c>
      <c r="H116" s="35">
        <v>5</v>
      </c>
      <c r="I116" s="35">
        <v>0</v>
      </c>
      <c r="J116" s="35">
        <v>0</v>
      </c>
      <c r="K116" s="35">
        <v>0</v>
      </c>
      <c r="L116" s="37">
        <v>5</v>
      </c>
      <c r="M116" s="35">
        <v>5</v>
      </c>
      <c r="N116" s="35">
        <v>5</v>
      </c>
      <c r="O116" s="35">
        <v>0</v>
      </c>
      <c r="P116" s="35">
        <v>0</v>
      </c>
      <c r="Q116" s="37">
        <v>0</v>
      </c>
      <c r="R116" s="35">
        <v>0</v>
      </c>
      <c r="S116" s="35">
        <v>0</v>
      </c>
      <c r="T116" s="35">
        <v>0</v>
      </c>
      <c r="U116" s="35">
        <v>5</v>
      </c>
      <c r="V116" s="37">
        <v>0</v>
      </c>
      <c r="W116" s="35">
        <v>0</v>
      </c>
      <c r="X116" s="35">
        <v>0</v>
      </c>
      <c r="Y116" s="35">
        <v>5</v>
      </c>
      <c r="Z116" s="35">
        <v>0</v>
      </c>
      <c r="AA116" s="41">
        <f t="shared" ref="AA116:AA118" si="6">SUM(B116:Z116)</f>
        <v>30</v>
      </c>
      <c r="AB116" s="84" t="s">
        <v>246</v>
      </c>
    </row>
    <row r="117" spans="1:28" x14ac:dyDescent="0.25">
      <c r="A117" s="37" t="s">
        <v>226</v>
      </c>
      <c r="B117" s="37">
        <v>10</v>
      </c>
      <c r="C117" s="35">
        <v>10</v>
      </c>
      <c r="D117" s="35">
        <v>0</v>
      </c>
      <c r="E117" s="35">
        <v>0</v>
      </c>
      <c r="F117" s="35">
        <v>0</v>
      </c>
      <c r="G117" s="37">
        <v>0</v>
      </c>
      <c r="H117" s="35">
        <v>0</v>
      </c>
      <c r="I117" s="35">
        <v>0</v>
      </c>
      <c r="J117" s="35">
        <v>0</v>
      </c>
      <c r="K117" s="35">
        <v>0</v>
      </c>
      <c r="L117" s="37">
        <v>0</v>
      </c>
      <c r="M117" s="35">
        <v>0</v>
      </c>
      <c r="N117" s="35">
        <v>0</v>
      </c>
      <c r="O117" s="35">
        <v>0</v>
      </c>
      <c r="P117" s="35">
        <v>0</v>
      </c>
      <c r="Q117" s="37">
        <v>5</v>
      </c>
      <c r="R117" s="35">
        <v>0</v>
      </c>
      <c r="S117" s="35">
        <v>0</v>
      </c>
      <c r="T117" s="35">
        <v>0</v>
      </c>
      <c r="U117" s="35">
        <v>0</v>
      </c>
      <c r="V117" s="37">
        <v>10</v>
      </c>
      <c r="W117" s="35">
        <v>10</v>
      </c>
      <c r="X117" s="35">
        <v>10</v>
      </c>
      <c r="Y117" s="35">
        <v>0</v>
      </c>
      <c r="Z117" s="35">
        <v>0</v>
      </c>
      <c r="AA117" s="41">
        <f t="shared" si="6"/>
        <v>55</v>
      </c>
      <c r="AB117" s="84" t="s">
        <v>227</v>
      </c>
    </row>
    <row r="118" spans="1:28" x14ac:dyDescent="0.25">
      <c r="A118" s="37" t="s">
        <v>228</v>
      </c>
      <c r="B118" s="37">
        <v>0</v>
      </c>
      <c r="C118" s="35">
        <v>0</v>
      </c>
      <c r="D118" s="35">
        <v>0</v>
      </c>
      <c r="E118" s="35">
        <v>0</v>
      </c>
      <c r="F118" s="35">
        <v>0</v>
      </c>
      <c r="G118" s="37">
        <v>0</v>
      </c>
      <c r="H118" s="35">
        <v>0</v>
      </c>
      <c r="I118" s="35">
        <v>0</v>
      </c>
      <c r="J118" s="35">
        <v>0</v>
      </c>
      <c r="K118" s="35">
        <v>-10</v>
      </c>
      <c r="L118" s="37">
        <v>-5</v>
      </c>
      <c r="M118" s="35">
        <v>-5</v>
      </c>
      <c r="N118" s="35">
        <v>-5</v>
      </c>
      <c r="O118" s="35">
        <v>-10</v>
      </c>
      <c r="P118" s="35">
        <v>0</v>
      </c>
      <c r="Q118" s="37">
        <v>-5</v>
      </c>
      <c r="R118" s="35">
        <v>0</v>
      </c>
      <c r="S118" s="35">
        <v>0</v>
      </c>
      <c r="T118" s="35">
        <v>0</v>
      </c>
      <c r="U118" s="35">
        <v>0</v>
      </c>
      <c r="V118" s="37">
        <v>-5</v>
      </c>
      <c r="W118" s="35">
        <v>-10</v>
      </c>
      <c r="X118" s="35">
        <v>-10</v>
      </c>
      <c r="Y118" s="35">
        <v>0</v>
      </c>
      <c r="Z118" s="35">
        <v>0</v>
      </c>
      <c r="AA118" s="41">
        <f t="shared" si="6"/>
        <v>-65</v>
      </c>
      <c r="AB118" s="84" t="s">
        <v>229</v>
      </c>
    </row>
    <row r="119" spans="1:28" x14ac:dyDescent="0.25">
      <c r="A119" s="37" t="s">
        <v>232</v>
      </c>
      <c r="B119" s="37">
        <v>0</v>
      </c>
      <c r="C119" s="35">
        <v>0</v>
      </c>
      <c r="D119" s="35">
        <v>5</v>
      </c>
      <c r="E119" s="35">
        <v>0</v>
      </c>
      <c r="F119" s="35">
        <v>0</v>
      </c>
      <c r="G119" s="37">
        <v>5</v>
      </c>
      <c r="H119" s="35">
        <v>0</v>
      </c>
      <c r="I119" s="35">
        <v>5</v>
      </c>
      <c r="J119" s="35">
        <v>5</v>
      </c>
      <c r="K119" s="35">
        <v>0</v>
      </c>
      <c r="L119" s="37">
        <v>0</v>
      </c>
      <c r="M119" s="35">
        <v>0</v>
      </c>
      <c r="N119" s="35">
        <v>0</v>
      </c>
      <c r="O119" s="35">
        <v>0</v>
      </c>
      <c r="P119" s="35">
        <v>0</v>
      </c>
      <c r="Q119" s="37">
        <v>0</v>
      </c>
      <c r="R119" s="35">
        <v>0</v>
      </c>
      <c r="S119" s="35">
        <v>0</v>
      </c>
      <c r="T119" s="35">
        <v>0</v>
      </c>
      <c r="U119" s="35">
        <v>0</v>
      </c>
      <c r="V119" s="37">
        <v>0</v>
      </c>
      <c r="W119" s="35">
        <v>0</v>
      </c>
      <c r="X119" s="35">
        <v>0</v>
      </c>
      <c r="Y119" s="35">
        <v>0</v>
      </c>
      <c r="Z119" s="35">
        <v>0</v>
      </c>
      <c r="AA119" s="41">
        <f t="shared" ref="AA119" si="7">SUM(B119:Z119)</f>
        <v>20</v>
      </c>
      <c r="AB119" s="84" t="s">
        <v>233</v>
      </c>
    </row>
    <row r="120" spans="1:28" x14ac:dyDescent="0.25">
      <c r="A120" s="37" t="s">
        <v>234</v>
      </c>
      <c r="B120" s="37">
        <v>0</v>
      </c>
      <c r="C120" s="35">
        <v>0</v>
      </c>
      <c r="D120" s="35">
        <v>0</v>
      </c>
      <c r="E120" s="35">
        <v>0</v>
      </c>
      <c r="F120" s="35">
        <v>0</v>
      </c>
      <c r="G120" s="37">
        <v>0</v>
      </c>
      <c r="H120" s="35">
        <v>0</v>
      </c>
      <c r="I120" s="35">
        <v>0</v>
      </c>
      <c r="J120" s="35">
        <v>0</v>
      </c>
      <c r="K120" s="35">
        <v>0</v>
      </c>
      <c r="L120" s="37">
        <v>0</v>
      </c>
      <c r="M120" s="35">
        <v>0</v>
      </c>
      <c r="N120" s="35">
        <v>0</v>
      </c>
      <c r="O120" s="35">
        <v>0</v>
      </c>
      <c r="P120" s="35">
        <v>0</v>
      </c>
      <c r="Q120" s="37">
        <v>0</v>
      </c>
      <c r="R120" s="35">
        <v>10</v>
      </c>
      <c r="S120" s="35">
        <v>10</v>
      </c>
      <c r="T120" s="35">
        <v>10</v>
      </c>
      <c r="U120" s="35">
        <v>10</v>
      </c>
      <c r="V120" s="37">
        <v>0</v>
      </c>
      <c r="W120" s="35">
        <v>0</v>
      </c>
      <c r="X120" s="35">
        <v>0</v>
      </c>
      <c r="Y120" s="35">
        <v>0</v>
      </c>
      <c r="Z120" s="35">
        <v>0</v>
      </c>
      <c r="AA120" s="41">
        <f t="shared" ref="AA120:AA121" si="8">SUM(B120:Z120)</f>
        <v>40</v>
      </c>
      <c r="AB120" s="84" t="s">
        <v>236</v>
      </c>
    </row>
    <row r="121" spans="1:28" x14ac:dyDescent="0.25">
      <c r="A121" s="37" t="s">
        <v>235</v>
      </c>
      <c r="B121" s="37">
        <v>0</v>
      </c>
      <c r="C121" s="35">
        <v>0</v>
      </c>
      <c r="D121" s="35">
        <v>0</v>
      </c>
      <c r="E121" s="35">
        <v>0</v>
      </c>
      <c r="F121" s="35">
        <v>0</v>
      </c>
      <c r="G121" s="37">
        <v>0</v>
      </c>
      <c r="H121" s="35">
        <v>0</v>
      </c>
      <c r="I121" s="35">
        <v>0</v>
      </c>
      <c r="J121" s="35">
        <v>0</v>
      </c>
      <c r="K121" s="35">
        <v>0</v>
      </c>
      <c r="L121" s="37">
        <v>0</v>
      </c>
      <c r="M121" s="35">
        <v>0</v>
      </c>
      <c r="N121" s="35">
        <v>0</v>
      </c>
      <c r="O121" s="35">
        <v>0</v>
      </c>
      <c r="P121" s="35">
        <v>10</v>
      </c>
      <c r="Q121" s="37">
        <v>0</v>
      </c>
      <c r="R121" s="35">
        <v>0</v>
      </c>
      <c r="S121" s="35">
        <v>0</v>
      </c>
      <c r="T121" s="35">
        <v>0</v>
      </c>
      <c r="U121" s="35">
        <v>0</v>
      </c>
      <c r="V121" s="37">
        <v>0</v>
      </c>
      <c r="W121" s="35">
        <v>0</v>
      </c>
      <c r="X121" s="35">
        <v>0</v>
      </c>
      <c r="Y121" s="35">
        <v>0</v>
      </c>
      <c r="Z121" s="35">
        <v>0</v>
      </c>
      <c r="AA121" s="41">
        <f t="shared" si="8"/>
        <v>10</v>
      </c>
      <c r="AB121" s="84" t="s">
        <v>237</v>
      </c>
    </row>
    <row r="122" spans="1:28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</row>
    <row r="142" spans="1:27" x14ac:dyDescent="0.25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</row>
    <row r="143" spans="1:27" x14ac:dyDescent="0.25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</row>
    <row r="144" spans="1:27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</row>
    <row r="145" spans="1:26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</row>
    <row r="146" spans="1:26" x14ac:dyDescent="0.25">
      <c r="A146" s="77"/>
    </row>
    <row r="147" spans="1:26" x14ac:dyDescent="0.25">
      <c r="A147" s="77"/>
    </row>
    <row r="148" spans="1:26" x14ac:dyDescent="0.25">
      <c r="A148" s="77"/>
    </row>
    <row r="149" spans="1:26" x14ac:dyDescent="0.25">
      <c r="A149" s="77"/>
    </row>
  </sheetData>
  <mergeCells count="1">
    <mergeCell ref="AB2:AC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C29" sqref="C29"/>
    </sheetView>
  </sheetViews>
  <sheetFormatPr baseColWidth="10" defaultRowHeight="15" x14ac:dyDescent="0.25"/>
  <cols>
    <col min="1" max="1" width="21.28515625" bestFit="1" customWidth="1"/>
    <col min="2" max="2" width="22.140625" bestFit="1" customWidth="1"/>
    <col min="3" max="3" width="103.28515625" bestFit="1" customWidth="1"/>
  </cols>
  <sheetData>
    <row r="1" spans="1:3" x14ac:dyDescent="0.25">
      <c r="A1" t="s">
        <v>45</v>
      </c>
      <c r="B1" t="s">
        <v>46</v>
      </c>
    </row>
    <row r="2" spans="1:3" x14ac:dyDescent="0.25">
      <c r="A2" s="23" t="s">
        <v>1</v>
      </c>
      <c r="B2" s="23" t="s">
        <v>1</v>
      </c>
      <c r="C2" t="s">
        <v>65</v>
      </c>
    </row>
    <row r="3" spans="1:3" x14ac:dyDescent="0.25">
      <c r="A3" s="23" t="s">
        <v>13</v>
      </c>
      <c r="B3" s="23" t="s">
        <v>13</v>
      </c>
      <c r="C3" t="s">
        <v>64</v>
      </c>
    </row>
    <row r="4" spans="1:3" x14ac:dyDescent="0.25">
      <c r="A4" s="23" t="s">
        <v>8</v>
      </c>
      <c r="B4" s="23" t="s">
        <v>8</v>
      </c>
      <c r="C4" t="s">
        <v>67</v>
      </c>
    </row>
    <row r="5" spans="1:3" x14ac:dyDescent="0.25">
      <c r="A5" s="23" t="s">
        <v>14</v>
      </c>
      <c r="B5" s="23" t="s">
        <v>14</v>
      </c>
      <c r="C5" t="s">
        <v>66</v>
      </c>
    </row>
    <row r="6" spans="1:3" x14ac:dyDescent="0.25">
      <c r="A6" s="23" t="s">
        <v>7</v>
      </c>
      <c r="B6" s="23" t="s">
        <v>7</v>
      </c>
      <c r="C6" t="s">
        <v>77</v>
      </c>
    </row>
    <row r="7" spans="1:3" x14ac:dyDescent="0.25">
      <c r="A7" s="22" t="s">
        <v>38</v>
      </c>
      <c r="B7" s="22" t="s">
        <v>90</v>
      </c>
      <c r="C7" t="s">
        <v>91</v>
      </c>
    </row>
    <row r="8" spans="1:3" x14ac:dyDescent="0.25">
      <c r="A8" s="22" t="s">
        <v>39</v>
      </c>
      <c r="B8" s="22" t="s">
        <v>47</v>
      </c>
      <c r="C8" t="s">
        <v>88</v>
      </c>
    </row>
    <row r="9" spans="1:3" x14ac:dyDescent="0.25">
      <c r="A9" s="22" t="s">
        <v>9</v>
      </c>
      <c r="B9" s="22" t="s">
        <v>69</v>
      </c>
      <c r="C9" t="s">
        <v>76</v>
      </c>
    </row>
    <row r="10" spans="1:3" x14ac:dyDescent="0.25">
      <c r="A10" s="22" t="s">
        <v>40</v>
      </c>
      <c r="B10" s="22" t="s">
        <v>48</v>
      </c>
      <c r="C10" t="s">
        <v>75</v>
      </c>
    </row>
    <row r="11" spans="1:3" x14ac:dyDescent="0.25">
      <c r="A11" s="22" t="s">
        <v>41</v>
      </c>
      <c r="B11" s="22" t="s">
        <v>58</v>
      </c>
      <c r="C11" t="s">
        <v>74</v>
      </c>
    </row>
    <row r="12" spans="1:3" x14ac:dyDescent="0.25">
      <c r="A12" s="21" t="s">
        <v>42</v>
      </c>
      <c r="B12" s="21" t="s">
        <v>42</v>
      </c>
      <c r="C12" t="s">
        <v>73</v>
      </c>
    </row>
    <row r="13" spans="1:3" x14ac:dyDescent="0.25">
      <c r="A13" s="21" t="s">
        <v>43</v>
      </c>
      <c r="B13" s="21" t="s">
        <v>43</v>
      </c>
      <c r="C13" t="s">
        <v>72</v>
      </c>
    </row>
    <row r="14" spans="1:3" x14ac:dyDescent="0.25">
      <c r="A14" s="21" t="s">
        <v>2</v>
      </c>
      <c r="B14" s="21" t="s">
        <v>2</v>
      </c>
      <c r="C14" t="s">
        <v>80</v>
      </c>
    </row>
    <row r="15" spans="1:3" x14ac:dyDescent="0.25">
      <c r="A15" s="21" t="s">
        <v>44</v>
      </c>
      <c r="B15" s="21" t="s">
        <v>44</v>
      </c>
      <c r="C15" t="s">
        <v>70</v>
      </c>
    </row>
    <row r="16" spans="1:3" x14ac:dyDescent="0.25">
      <c r="A16" s="21" t="s">
        <v>3</v>
      </c>
      <c r="B16" s="21" t="s">
        <v>55</v>
      </c>
      <c r="C16" t="s">
        <v>71</v>
      </c>
    </row>
    <row r="17" spans="1:13" x14ac:dyDescent="0.25">
      <c r="A17" s="20" t="s">
        <v>4</v>
      </c>
      <c r="B17" s="20" t="s">
        <v>50</v>
      </c>
      <c r="C17" t="s">
        <v>89</v>
      </c>
    </row>
    <row r="18" spans="1:13" x14ac:dyDescent="0.25">
      <c r="A18" s="20" t="s">
        <v>5</v>
      </c>
      <c r="B18" s="20" t="s">
        <v>68</v>
      </c>
      <c r="C18" t="s">
        <v>81</v>
      </c>
    </row>
    <row r="19" spans="1:13" x14ac:dyDescent="0.25">
      <c r="A19" s="20" t="s">
        <v>10</v>
      </c>
      <c r="B19" s="20" t="s">
        <v>53</v>
      </c>
      <c r="C19" t="s">
        <v>79</v>
      </c>
      <c r="K19" s="19"/>
      <c r="L19" s="19"/>
      <c r="M19" s="19"/>
    </row>
    <row r="20" spans="1:13" x14ac:dyDescent="0.25">
      <c r="A20" s="20" t="s">
        <v>49</v>
      </c>
      <c r="B20" s="20" t="s">
        <v>49</v>
      </c>
      <c r="C20" t="s">
        <v>78</v>
      </c>
    </row>
    <row r="21" spans="1:13" x14ac:dyDescent="0.25">
      <c r="A21" s="20" t="s">
        <v>11</v>
      </c>
      <c r="B21" s="20" t="s">
        <v>11</v>
      </c>
      <c r="C21" t="s">
        <v>82</v>
      </c>
    </row>
    <row r="22" spans="1:13" x14ac:dyDescent="0.25">
      <c r="A22" s="24" t="s">
        <v>6</v>
      </c>
      <c r="B22" s="24" t="s">
        <v>6</v>
      </c>
      <c r="C22" t="s">
        <v>87</v>
      </c>
    </row>
    <row r="23" spans="1:13" x14ac:dyDescent="0.25">
      <c r="A23" s="24" t="s">
        <v>51</v>
      </c>
      <c r="B23" s="24" t="s">
        <v>54</v>
      </c>
      <c r="C23" t="s">
        <v>84</v>
      </c>
    </row>
    <row r="24" spans="1:13" x14ac:dyDescent="0.25">
      <c r="A24" s="24" t="s">
        <v>52</v>
      </c>
      <c r="B24" s="24" t="s">
        <v>52</v>
      </c>
      <c r="C24" t="s">
        <v>83</v>
      </c>
    </row>
    <row r="25" spans="1:13" x14ac:dyDescent="0.25">
      <c r="A25" s="24" t="s">
        <v>57</v>
      </c>
      <c r="B25" s="24" t="s">
        <v>57</v>
      </c>
      <c r="C25" t="s">
        <v>85</v>
      </c>
    </row>
    <row r="26" spans="1:13" x14ac:dyDescent="0.25">
      <c r="A26" s="24" t="s">
        <v>56</v>
      </c>
      <c r="B26" s="24" t="s">
        <v>56</v>
      </c>
      <c r="C26" t="s">
        <v>86</v>
      </c>
    </row>
    <row r="30" spans="1:13" x14ac:dyDescent="0.25">
      <c r="A30" s="19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22" sqref="C22"/>
    </sheetView>
  </sheetViews>
  <sheetFormatPr baseColWidth="10" defaultRowHeight="15" x14ac:dyDescent="0.25"/>
  <cols>
    <col min="1" max="1" width="18.5703125" bestFit="1" customWidth="1"/>
    <col min="2" max="2" width="59.85546875" bestFit="1" customWidth="1"/>
    <col min="3" max="3" width="38.140625" bestFit="1" customWidth="1"/>
    <col min="4" max="4" width="14.7109375" bestFit="1" customWidth="1"/>
    <col min="5" max="5" width="54.5703125" bestFit="1" customWidth="1"/>
  </cols>
  <sheetData>
    <row r="1" spans="1:5" x14ac:dyDescent="0.25">
      <c r="A1" t="s">
        <v>35</v>
      </c>
      <c r="B1" t="s">
        <v>255</v>
      </c>
      <c r="C1" t="s">
        <v>250</v>
      </c>
      <c r="D1" t="s">
        <v>248</v>
      </c>
      <c r="E1" t="s">
        <v>249</v>
      </c>
    </row>
    <row r="2" spans="1:5" x14ac:dyDescent="0.25">
      <c r="A2" t="s">
        <v>247</v>
      </c>
      <c r="B2" s="113" t="s">
        <v>263</v>
      </c>
      <c r="C2" t="s">
        <v>251</v>
      </c>
      <c r="D2" s="84" t="s">
        <v>253</v>
      </c>
      <c r="E2" t="s">
        <v>252</v>
      </c>
    </row>
    <row r="3" spans="1:5" x14ac:dyDescent="0.25">
      <c r="A3" t="s">
        <v>257</v>
      </c>
      <c r="B3" s="114" t="s">
        <v>262</v>
      </c>
      <c r="C3" t="s">
        <v>259</v>
      </c>
      <c r="D3" s="84" t="s">
        <v>253</v>
      </c>
      <c r="E3" t="s">
        <v>258</v>
      </c>
    </row>
    <row r="4" spans="1:5" x14ac:dyDescent="0.25">
      <c r="A4" t="s">
        <v>254</v>
      </c>
      <c r="B4" s="114" t="s">
        <v>256</v>
      </c>
      <c r="C4" t="s">
        <v>260</v>
      </c>
      <c r="D4" s="84" t="s">
        <v>253</v>
      </c>
      <c r="E4" t="s">
        <v>261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Attributenberechnung</vt:lpstr>
      <vt:lpstr>Übersicht</vt:lpstr>
      <vt:lpstr>Beeinflussung</vt:lpstr>
      <vt:lpstr>Beschreibung Attribute</vt:lpstr>
      <vt:lpstr>Charakterere (einfach Ignorier)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Mehrkens</dc:creator>
  <cp:lastModifiedBy>Marcel Mehrkens</cp:lastModifiedBy>
  <dcterms:created xsi:type="dcterms:W3CDTF">2020-07-08T12:39:07Z</dcterms:created>
  <dcterms:modified xsi:type="dcterms:W3CDTF">2020-08-09T08:38:55Z</dcterms:modified>
</cp:coreProperties>
</file>